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1"/>
  </bookViews>
  <sheets>
    <sheet name="TABLE13.12" sheetId="1" r:id="rId1"/>
  </sheets>
  <definedNames>
    <definedName name="_Regression_Int" localSheetId="0" hidden="1">1</definedName>
    <definedName name="_xlnm.Print_Area" localSheetId="0">TABLE13.12!$A$1:$V$115</definedName>
    <definedName name="_xlnm.Print_Area">TABLE13.12!$A$1:$U$113</definedName>
    <definedName name="Print_Area_MI" localSheetId="0">TABLE13.12!$A$1:$V$114</definedName>
    <definedName name="PRINT_AREA_MI">TABLE13.12!$A$1:$U$113</definedName>
  </definedNames>
  <calcPr calcId="125725"/>
</workbook>
</file>

<file path=xl/calcChain.xml><?xml version="1.0" encoding="utf-8"?>
<calcChain xmlns="http://schemas.openxmlformats.org/spreadsheetml/2006/main">
  <c r="U40" i="1"/>
  <c r="U91" s="1"/>
  <c r="S40"/>
  <c r="Q40"/>
  <c r="O40"/>
  <c r="M40"/>
  <c r="M91" s="1"/>
  <c r="G40"/>
  <c r="E40"/>
  <c r="E91" s="1"/>
  <c r="C40"/>
  <c r="S91"/>
  <c r="U90"/>
  <c r="S90"/>
  <c r="Q90"/>
  <c r="O90"/>
  <c r="M90"/>
  <c r="G90"/>
  <c r="E90"/>
  <c r="C90"/>
  <c r="U89"/>
  <c r="S89"/>
  <c r="Q89"/>
  <c r="O89"/>
  <c r="M89"/>
  <c r="G89"/>
  <c r="E89"/>
  <c r="C89"/>
  <c r="U88"/>
  <c r="S88"/>
  <c r="Q88"/>
  <c r="O88"/>
  <c r="M88"/>
  <c r="G88"/>
  <c r="E88"/>
  <c r="C88"/>
  <c r="U87"/>
  <c r="S87"/>
  <c r="Q87"/>
  <c r="O87"/>
  <c r="M87"/>
  <c r="G87"/>
  <c r="E87"/>
  <c r="C87"/>
  <c r="U86"/>
  <c r="S86"/>
  <c r="Q86"/>
  <c r="O86"/>
  <c r="M86"/>
  <c r="G86"/>
  <c r="E86"/>
  <c r="C86"/>
  <c r="U85"/>
  <c r="S85"/>
  <c r="Q85"/>
  <c r="O85"/>
  <c r="M85"/>
  <c r="G85"/>
  <c r="E85"/>
  <c r="C85"/>
  <c r="U84"/>
  <c r="S84"/>
  <c r="Q84"/>
  <c r="O84"/>
  <c r="M84"/>
  <c r="G84"/>
  <c r="E84"/>
  <c r="C84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Q91"/>
  <c r="O91"/>
  <c r="L91"/>
  <c r="K91"/>
  <c r="J91"/>
  <c r="I91"/>
  <c r="G91"/>
  <c r="C91"/>
  <c r="U39"/>
  <c r="S39"/>
  <c r="Q39"/>
  <c r="O39"/>
  <c r="M39"/>
  <c r="G39"/>
  <c r="E39"/>
  <c r="C39"/>
  <c r="L90"/>
  <c r="K90"/>
  <c r="J90"/>
  <c r="I90"/>
  <c r="U38"/>
  <c r="S38"/>
  <c r="Q38"/>
  <c r="O38"/>
  <c r="M38"/>
  <c r="G38"/>
  <c r="E38"/>
  <c r="C38"/>
  <c r="L89"/>
  <c r="K89"/>
  <c r="J89"/>
  <c r="I89"/>
  <c r="U37"/>
  <c r="S37"/>
  <c r="Q37"/>
  <c r="O37"/>
  <c r="M37"/>
  <c r="G37"/>
  <c r="E37"/>
  <c r="C37"/>
  <c r="L88"/>
  <c r="K88"/>
  <c r="J88"/>
  <c r="I88"/>
  <c r="U36"/>
  <c r="S36"/>
  <c r="Q36"/>
  <c r="O36"/>
  <c r="M36"/>
  <c r="G36"/>
  <c r="E36"/>
  <c r="C36"/>
  <c r="L87"/>
  <c r="K87"/>
  <c r="J87"/>
  <c r="I87"/>
  <c r="U35"/>
  <c r="S35"/>
  <c r="Q35"/>
  <c r="O35"/>
  <c r="M35"/>
  <c r="G35"/>
  <c r="E35"/>
  <c r="C35"/>
  <c r="L86"/>
  <c r="K86"/>
  <c r="J86"/>
  <c r="I86"/>
  <c r="U34"/>
  <c r="S34"/>
  <c r="Q34"/>
  <c r="O34"/>
  <c r="M34"/>
  <c r="G34"/>
  <c r="E34"/>
  <c r="C34"/>
  <c r="L85"/>
  <c r="K85"/>
  <c r="J85"/>
  <c r="I85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U28"/>
  <c r="S28"/>
  <c r="Q28"/>
  <c r="O28"/>
  <c r="M28"/>
  <c r="G28"/>
  <c r="E28"/>
  <c r="C28"/>
  <c r="U33"/>
  <c r="S33"/>
  <c r="Q33"/>
  <c r="O33"/>
  <c r="M33"/>
  <c r="G33"/>
  <c r="E33"/>
  <c r="C33"/>
  <c r="L84"/>
  <c r="K84"/>
  <c r="J84"/>
  <c r="I84"/>
  <c r="L82"/>
  <c r="K82"/>
  <c r="J82"/>
  <c r="I82"/>
  <c r="L31"/>
  <c r="K31"/>
  <c r="K83" s="1"/>
  <c r="J31"/>
  <c r="I31"/>
  <c r="I83" s="1"/>
  <c r="I77"/>
  <c r="J77"/>
  <c r="K77"/>
  <c r="L77"/>
  <c r="I78"/>
  <c r="J78"/>
  <c r="K78"/>
  <c r="L78"/>
  <c r="I79"/>
  <c r="J79"/>
  <c r="K79"/>
  <c r="L79"/>
  <c r="I80"/>
  <c r="J80"/>
  <c r="K80"/>
  <c r="L80"/>
  <c r="I81"/>
  <c r="J81"/>
  <c r="K81"/>
  <c r="L81"/>
  <c r="J83"/>
  <c r="L83"/>
  <c r="L76"/>
  <c r="K76"/>
  <c r="J76"/>
  <c r="I76"/>
  <c r="L75"/>
  <c r="K75"/>
  <c r="J75"/>
  <c r="I75"/>
  <c r="L74"/>
  <c r="K74"/>
  <c r="J74"/>
  <c r="I74"/>
  <c r="L73"/>
  <c r="K73"/>
  <c r="J73"/>
  <c r="I73"/>
  <c r="L72"/>
  <c r="K72"/>
  <c r="J72"/>
  <c r="I72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</calcChain>
</file>

<file path=xl/sharedStrings.xml><?xml version="1.0" encoding="utf-8"?>
<sst xmlns="http://schemas.openxmlformats.org/spreadsheetml/2006/main" count="111" uniqueCount="74">
  <si>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</si>
  <si>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</si>
  <si>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</si>
  <si>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</si>
  <si>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</si>
  <si>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</si>
  <si>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</si>
  <si>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</si>
  <si>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</si>
  <si>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</si>
  <si>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</si>
  <si>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</si>
  <si>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</si>
  <si>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</si>
  <si>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</si>
  <si>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</si>
  <si>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</si>
  <si>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</si>
  <si>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</si>
  <si>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</si>
  <si>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</si>
  <si>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</si>
  <si>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</si>
  <si>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</si>
  <si>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</si>
  <si>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</si>
  <si>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</si>
  <si>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</si>
  <si>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</si>
  <si>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</si>
  <si>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</si>
  <si>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</si>
  <si>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</si>
  <si>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</si>
  <si>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ICF/MR</t>
  </si>
  <si>
    <t>1995</t>
  </si>
  <si>
    <t>1996</t>
  </si>
  <si>
    <t>1997</t>
  </si>
  <si>
    <t>1998</t>
  </si>
  <si>
    <t>1999</t>
  </si>
  <si>
    <t>2000</t>
  </si>
  <si>
    <t>Table 13.12</t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</si>
  <si>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</si>
  <si>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</si>
  <si>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</si>
  <si>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Health </t>
    </r>
    <r>
      <rPr>
        <vertAlign val="superscript"/>
        <sz val="8"/>
        <rFont val="Arial"/>
        <family val="2"/>
      </rPr>
      <t>3</t>
    </r>
  </si>
  <si>
    <t xml:space="preserve"> Home</t>
  </si>
  <si>
    <t xml:space="preserve">  ICF/MR</t>
  </si>
  <si>
    <t xml:space="preserve">Medicaid Payments per Person Served (Beneficiary), All Eligibility Groups, by Type of Service: </t>
  </si>
  <si>
    <t>not shown separately.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</si>
  <si>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some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</si>
  <si>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</si>
  <si>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</si>
  <si>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the </t>
  </si>
  <si>
    <t>reported fiscal year. This could inflate the number of users and lower the average payment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</si>
  <si>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</si>
  <si>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 xml:space="preserve">the definitions of related categories of service. Reporting for 1998 added categories of service for personal care support services and home and </t>
  </si>
  <si>
    <t xml:space="preserve">community-based waiver services (category not shown separately in table). In 1999 the home and community-based waiver services were reclassified into </t>
  </si>
  <si>
    <t>the other related categories of service (category not shown separately in table).</t>
  </si>
  <si>
    <t xml:space="preserve">NOTES: Beginning fiscal year 1998, capitated premiums for Medicaid eligibles enrolled in managed care plans were included in this series as a component </t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</si>
  <si>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</si>
  <si>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U.S. </t>
  </si>
  <si>
    <t>Table 13.12—Continued</t>
  </si>
  <si>
    <t xml:space="preserve">and contact lenses), and net health insurance (now classified under insurance services). As a result of the PCE classification change, all PCE series </t>
  </si>
  <si>
    <t xml:space="preserve">year was updated to the year 2005. PCE health care services now exclude eye exams (currently classified in PCE goods under corrective eyeglasses </t>
  </si>
  <si>
    <t xml:space="preserve">were restated for the entire historical period to reflect the new PCE classification structure. ICF/MR is intermediate care facility for the mentally retarded.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</si>
  <si>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</si>
  <si>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</si>
  <si>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</si>
  <si>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 Fiscal Years 1975-2009</t>
  </si>
  <si>
    <t>(Constant 2009 Dollars)</t>
  </si>
  <si>
    <t xml:space="preserve">services, U.S. Department of Commerce, Bureau of Economic Analysis (BEA), expressed in fiscal year 2009 dollars. With the release of the comprehensive </t>
  </si>
  <si>
    <t>Department of Commerce; data development by the Center for Strategic Planning.</t>
  </si>
  <si>
    <t>Beneficiaries covered under SCHIP and their payments are excluded from Medicaid.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</si>
</sst>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0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8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2" fillId="0" borderId="0" xfId="0" applyFont="1" applyBorder="1"/>
    <xf numFmtId="164" fontId="0" fillId="0" borderId="0" xfId="0" applyBorder="1"/>
    <xf numFmtId="164" fontId="4" fillId="0" borderId="0" xfId="0" applyFont="1" applyAlignment="1">
      <alignment vertical="top"/>
    </xf>
    <xf numFmtId="164" fontId="4" fillId="0" borderId="0" xfId="0" applyFont="1" applyAlignment="1">
      <alignment vertical="center"/>
    </xf>
    <xf numFmtId="164" fontId="4" fillId="0" borderId="0" xfId="0" applyFont="1"/>
    <xf numFmtId="164" fontId="5" fillId="0" borderId="0" xfId="0" applyFont="1"/>
    <xf numFmtId="164" fontId="5" fillId="0" borderId="0" xfId="0" applyFont="1" applyBorder="1"/>
    <xf numFmtId="164" fontId="6" fillId="0" borderId="0" xfId="0" quotePrefix="1" applyNumberFormat="1" applyFont="1" applyBorder="1" applyAlignment="1" applyProtection="1">
      <alignment horizontal="left"/>
    </xf>
    <xf numFmtId="164" fontId="4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5" fillId="0" borderId="0" xfId="0" applyNumberFormat="1" applyFont="1" applyBorder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centerContinuous"/>
    </xf>
    <xf numFmtId="164" fontId="5" fillId="0" borderId="1" xfId="0" applyNumberFormat="1" applyFont="1" applyBorder="1" applyAlignment="1" applyProtection="1"/>
    <xf numFmtId="164" fontId="5" fillId="0" borderId="1" xfId="0" applyNumberFormat="1" applyFont="1" applyBorder="1" applyAlignment="1" applyProtection="1">
      <alignment horizontal="center"/>
    </xf>
    <xf numFmtId="164" fontId="5" fillId="0" borderId="1" xfId="0" applyFont="1" applyBorder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5" fontId="5" fillId="0" borderId="0" xfId="0" applyNumberFormat="1" applyFont="1" applyProtection="1"/>
    <xf numFmtId="37" fontId="5" fillId="0" borderId="0" xfId="0" applyNumberFormat="1" applyFont="1" applyProtection="1"/>
    <xf numFmtId="37" fontId="2" fillId="0" borderId="0" xfId="0" applyNumberFormat="1" applyFont="1" applyProtection="1"/>
    <xf numFmtId="166" fontId="5" fillId="0" borderId="0" xfId="1" applyNumberFormat="1" applyFont="1" applyBorder="1" applyProtection="1"/>
    <xf numFmtId="164" fontId="5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5" fillId="0" borderId="2" xfId="0" applyFont="1" applyBorder="1"/>
    <xf numFmtId="166" fontId="5" fillId="0" borderId="0" xfId="1" applyNumberFormat="1" applyFont="1" applyProtection="1"/>
    <xf numFmtId="165" fontId="2" fillId="0" borderId="0" xfId="0" applyNumberFormat="1" applyFont="1" applyProtection="1"/>
    <xf numFmtId="37" fontId="5" fillId="0" borderId="0" xfId="0" applyNumberFormat="1" applyFont="1" applyBorder="1" applyProtection="1"/>
    <xf numFmtId="166" fontId="5" fillId="0" borderId="1" xfId="1" applyNumberFormat="1" applyFont="1" applyBorder="1" applyProtection="1"/>
    <xf numFmtId="37" fontId="5" fillId="0" borderId="1" xfId="0" applyNumberFormat="1" applyFont="1" applyBorder="1" applyProtection="1"/>
    <xf numFmtId="0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164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Alignment="1">
      <alignment vertical="center"/>
    </xf>
    <xf numFmtId="164" fontId="5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3" xfId="0" applyFont="1" applyBorder="1"/>
    <xf numFmtId="164" fontId="4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>
      <alignment vertical="center"/>
    </xf>
    <xf numFmtId="164" fontId="3" fillId="0" borderId="0" xfId="0" applyNumberFormat="1" applyFont="1" applyAlignment="1" applyProtection="1">
      <alignment horizontal="center" vertical="top"/>
    </xf>
    <xf numFmtId="164" fontId="5" fillId="0" borderId="3" xfId="0" applyFont="1" applyBorder="1" applyAlignment="1" applyProtection="1">
      <alignment horizontal="center"/>
    </xf>
    <xf numFmtId="164" fontId="5" fillId="0" borderId="0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97" transitionEvaluation="1"/>
  <dimension ref="A1:AG115"/>
  <sheetViews>
    <sheetView showGridLines="0" tabSelected="1" topLeftCell="A97" zoomScale="120" zoomScaleNormal="120" zoomScaleSheetLayoutView="75" workbookViewId="0">
      <selection activeCell="Q125" sqref="Q125"/>
    </sheetView>
  </sheetViews>
  <sheetFormatPr defaultColWidth="9.796875" defaultRowHeight="9"/>
  <cols>
    <col min="1" max="1" width="8" style="9" customWidth="1"/>
    <col min="2" max="2" width="5" style="9" customWidth="1"/>
    <col min="3" max="3" width="9.59765625" style="9" customWidth="1"/>
    <col min="4" max="4" width="5.19921875" style="9" customWidth="1"/>
    <col min="5" max="5" width="10" style="9" customWidth="1"/>
    <col min="6" max="6" width="6" style="9" customWidth="1"/>
    <col min="7" max="7" width="10.59765625" style="9" customWidth="1"/>
    <col min="8" max="8" width="4.59765625" style="9" customWidth="1"/>
    <col min="9" max="11" width="0" style="9" hidden="1" customWidth="1"/>
    <col min="12" max="12" width="0.19921875" style="9" hidden="1" customWidth="1"/>
    <col min="13" max="13" width="11" style="9" customWidth="1"/>
    <col min="14" max="14" width="5" style="9" customWidth="1"/>
    <col min="15" max="15" width="9" style="9" customWidth="1"/>
    <col min="16" max="16" width="5" style="9" customWidth="1"/>
    <col min="17" max="17" width="9" style="9" customWidth="1"/>
    <col min="18" max="18" width="5" style="9" customWidth="1"/>
    <col min="19" max="19" width="9" style="9" customWidth="1"/>
    <col min="20" max="20" width="5" style="9" customWidth="1"/>
    <col min="21" max="21" width="8.796875" style="9" customWidth="1"/>
    <col min="22" max="22" width="3" style="9" customWidth="1"/>
    <col min="23" max="23" width="20.19921875" style="9" customWidth="1"/>
    <col min="24" max="25" width="9.796875" style="9"/>
  </cols>
  <sheetData>
    <row r="1" spans="1:33" s="2" customFormat="1" ht="15" customHeight="1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7"/>
      <c r="Y1" s="7"/>
    </row>
    <row r="2" spans="1:33" s="3" customFormat="1" ht="15" customHeight="1">
      <c r="A2" s="57" t="s">
        <v>48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8"/>
      <c r="X2" s="8"/>
      <c r="Y2" s="8"/>
    </row>
    <row r="3" spans="1:33" s="3" customFormat="1" ht="15" customHeight="1">
      <c r="A3" s="56" t="s">
        <v>69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8"/>
      <c r="X3" s="8"/>
      <c r="Y3" s="8"/>
    </row>
    <row r="4" spans="1:33" s="1" customFormat="1" ht="10.15" customHeight="1">
      <c r="A4" s="19" t="s">
        <v>0</v>
      </c>
      <c r="B4" s="11"/>
      <c r="C4" s="11"/>
      <c r="D4" s="11"/>
      <c r="E4" s="20" t="s">
        <v>1</v>
      </c>
      <c r="F4" s="11"/>
      <c r="G4" s="11"/>
      <c r="H4" s="11"/>
      <c r="I4" s="11"/>
      <c r="J4" s="11"/>
      <c r="K4" s="21" t="s">
        <v>2</v>
      </c>
      <c r="L4" s="11"/>
      <c r="M4" s="20" t="s">
        <v>3</v>
      </c>
      <c r="N4" s="11"/>
      <c r="O4" s="11"/>
      <c r="P4" s="11"/>
      <c r="Q4" s="20" t="s">
        <v>4</v>
      </c>
      <c r="R4" s="11"/>
      <c r="S4" s="45" t="s">
        <v>46</v>
      </c>
      <c r="T4" s="11"/>
      <c r="U4" s="19" t="s">
        <v>6</v>
      </c>
      <c r="V4" s="50"/>
      <c r="W4" s="10"/>
      <c r="X4" s="10"/>
      <c r="Y4" s="10"/>
    </row>
    <row r="5" spans="1:33" s="1" customFormat="1" ht="14.25" customHeight="1">
      <c r="A5" s="22" t="s">
        <v>7</v>
      </c>
      <c r="B5" s="23"/>
      <c r="C5" s="24" t="s">
        <v>42</v>
      </c>
      <c r="D5" s="23"/>
      <c r="E5" s="24" t="s">
        <v>8</v>
      </c>
      <c r="F5" s="23"/>
      <c r="G5" s="25" t="s">
        <v>47</v>
      </c>
      <c r="H5" s="23"/>
      <c r="I5" s="26" t="s">
        <v>9</v>
      </c>
      <c r="J5" s="23"/>
      <c r="K5" s="26" t="s">
        <v>10</v>
      </c>
      <c r="L5" s="23"/>
      <c r="M5" s="24" t="s">
        <v>43</v>
      </c>
      <c r="N5" s="23"/>
      <c r="O5" s="26" t="s">
        <v>11</v>
      </c>
      <c r="P5" s="23"/>
      <c r="Q5" s="24" t="s">
        <v>8</v>
      </c>
      <c r="R5" s="23"/>
      <c r="S5" s="43" t="s">
        <v>45</v>
      </c>
      <c r="T5" s="23"/>
      <c r="U5" s="44" t="s">
        <v>12</v>
      </c>
      <c r="V5" s="23"/>
      <c r="W5" s="11"/>
      <c r="X5" s="11"/>
      <c r="Y5" s="11"/>
      <c r="Z5" s="5"/>
      <c r="AA5" s="5"/>
      <c r="AB5" s="5"/>
      <c r="AC5" s="5"/>
      <c r="AD5" s="5"/>
      <c r="AE5" s="5"/>
      <c r="AF5" s="5"/>
    </row>
    <row r="6" spans="1:33" s="1" customFormat="1" ht="11.25" customHeight="1">
      <c r="A6" s="28" t="s">
        <v>13</v>
      </c>
      <c r="B6" s="10"/>
      <c r="C6" s="29">
        <v>556</v>
      </c>
      <c r="D6" s="10"/>
      <c r="E6" s="29">
        <v>983</v>
      </c>
      <c r="F6" s="10"/>
      <c r="G6" s="29">
        <v>5538</v>
      </c>
      <c r="H6" s="10"/>
      <c r="I6" s="29">
        <v>2764</v>
      </c>
      <c r="J6" s="29"/>
      <c r="K6" s="29">
        <v>3865</v>
      </c>
      <c r="L6" s="29"/>
      <c r="M6" s="29">
        <v>3292</v>
      </c>
      <c r="N6" s="29"/>
      <c r="O6" s="29">
        <v>81</v>
      </c>
      <c r="P6" s="10"/>
      <c r="Q6" s="29">
        <v>50</v>
      </c>
      <c r="R6" s="10"/>
      <c r="S6" s="29">
        <v>204</v>
      </c>
      <c r="T6" s="10"/>
      <c r="U6" s="29">
        <v>58</v>
      </c>
      <c r="V6" s="10"/>
      <c r="W6" s="10"/>
      <c r="X6" s="11"/>
      <c r="Y6" s="11"/>
      <c r="Z6" s="5"/>
      <c r="AA6" s="5"/>
      <c r="AB6" s="5"/>
      <c r="AC6" s="5"/>
      <c r="AD6" s="5"/>
      <c r="AE6" s="5"/>
      <c r="AF6" s="5"/>
      <c r="AG6" s="5"/>
    </row>
    <row r="7" spans="1:33" s="1" customFormat="1" ht="10.15" customHeight="1">
      <c r="A7" s="28" t="s">
        <v>14</v>
      </c>
      <c r="B7" s="10"/>
      <c r="C7" s="30">
        <v>618</v>
      </c>
      <c r="D7" s="30"/>
      <c r="E7" s="30">
        <v>1100</v>
      </c>
      <c r="F7" s="30"/>
      <c r="G7" s="30">
        <v>7135</v>
      </c>
      <c r="H7" s="30"/>
      <c r="I7" s="30">
        <v>3049</v>
      </c>
      <c r="J7" s="30"/>
      <c r="K7" s="30">
        <v>3886</v>
      </c>
      <c r="L7" s="30"/>
      <c r="M7" s="30">
        <v>3442</v>
      </c>
      <c r="N7" s="30"/>
      <c r="O7" s="30">
        <v>88</v>
      </c>
      <c r="P7" s="30"/>
      <c r="Q7" s="30">
        <v>65</v>
      </c>
      <c r="R7" s="30"/>
      <c r="S7" s="30">
        <v>420</v>
      </c>
      <c r="T7" s="30"/>
      <c r="U7" s="30">
        <v>63</v>
      </c>
      <c r="V7" s="10"/>
      <c r="W7" s="10"/>
      <c r="X7" s="11"/>
      <c r="Y7" s="11"/>
      <c r="Z7" s="5"/>
      <c r="AA7" s="5"/>
      <c r="AB7" s="5"/>
      <c r="AC7" s="5"/>
      <c r="AD7" s="5"/>
      <c r="AE7" s="5"/>
      <c r="AF7" s="5"/>
      <c r="AG7" s="5"/>
    </row>
    <row r="8" spans="1:33" s="1" customFormat="1" ht="10.15" customHeight="1">
      <c r="A8" s="28" t="s">
        <v>15</v>
      </c>
      <c r="B8" s="10"/>
      <c r="C8" s="30">
        <v>711</v>
      </c>
      <c r="D8" s="30"/>
      <c r="E8" s="30">
        <v>1211</v>
      </c>
      <c r="F8" s="30"/>
      <c r="G8" s="30">
        <v>8530</v>
      </c>
      <c r="H8" s="30"/>
      <c r="I8" s="30">
        <v>3499</v>
      </c>
      <c r="J8" s="30"/>
      <c r="K8" s="30">
        <v>4199</v>
      </c>
      <c r="L8" s="30"/>
      <c r="M8" s="30">
        <v>3819</v>
      </c>
      <c r="N8" s="30"/>
      <c r="O8" s="30">
        <v>94</v>
      </c>
      <c r="P8" s="30"/>
      <c r="Q8" s="30">
        <v>102</v>
      </c>
      <c r="R8" s="30"/>
      <c r="S8" s="30">
        <v>485</v>
      </c>
      <c r="T8" s="30"/>
      <c r="U8" s="30">
        <v>66</v>
      </c>
      <c r="V8" s="10"/>
      <c r="W8" s="10"/>
      <c r="X8" s="10"/>
      <c r="Y8" s="10"/>
    </row>
    <row r="9" spans="1:33" s="1" customFormat="1" ht="10.15" customHeight="1">
      <c r="A9" s="28" t="s">
        <v>16</v>
      </c>
      <c r="B9" s="10"/>
      <c r="C9" s="30">
        <v>819</v>
      </c>
      <c r="D9" s="30"/>
      <c r="E9" s="30">
        <v>1320</v>
      </c>
      <c r="F9" s="30"/>
      <c r="G9" s="30">
        <v>11486</v>
      </c>
      <c r="H9" s="30"/>
      <c r="I9" s="30">
        <v>4194</v>
      </c>
      <c r="J9" s="30"/>
      <c r="K9" s="30">
        <v>4893</v>
      </c>
      <c r="L9" s="30"/>
      <c r="M9" s="30">
        <v>4517</v>
      </c>
      <c r="N9" s="30"/>
      <c r="O9" s="30">
        <v>99</v>
      </c>
      <c r="P9" s="30"/>
      <c r="Q9" s="30">
        <v>97</v>
      </c>
      <c r="R9" s="30"/>
      <c r="S9" s="30">
        <v>558</v>
      </c>
      <c r="T9" s="30"/>
      <c r="U9" s="30">
        <v>71</v>
      </c>
      <c r="V9" s="10"/>
      <c r="W9" s="10"/>
      <c r="X9" s="10"/>
      <c r="Y9" s="10"/>
    </row>
    <row r="10" spans="1:33" s="1" customFormat="1" ht="10.15" customHeight="1">
      <c r="A10" s="28" t="s">
        <v>17</v>
      </c>
      <c r="B10" s="10"/>
      <c r="C10" s="30">
        <v>951</v>
      </c>
      <c r="D10" s="30"/>
      <c r="E10" s="30">
        <v>1568</v>
      </c>
      <c r="F10" s="30"/>
      <c r="G10" s="30">
        <v>13022</v>
      </c>
      <c r="H10" s="30"/>
      <c r="I10" s="30">
        <v>4926</v>
      </c>
      <c r="J10" s="30"/>
      <c r="K10" s="30">
        <v>5544</v>
      </c>
      <c r="L10" s="30"/>
      <c r="M10" s="30">
        <v>5198</v>
      </c>
      <c r="N10" s="30"/>
      <c r="O10" s="30">
        <v>108</v>
      </c>
      <c r="P10" s="30"/>
      <c r="Q10" s="30">
        <v>110</v>
      </c>
      <c r="R10" s="30"/>
      <c r="S10" s="30">
        <v>734</v>
      </c>
      <c r="T10" s="30"/>
      <c r="U10" s="30">
        <v>84</v>
      </c>
      <c r="V10" s="10"/>
      <c r="W10" s="10"/>
      <c r="X10" s="10"/>
      <c r="Y10" s="10"/>
    </row>
    <row r="11" spans="1:33" s="1" customFormat="1" ht="10.15" customHeight="1">
      <c r="A11" s="28" t="s">
        <v>18</v>
      </c>
      <c r="B11" s="10"/>
      <c r="C11" s="30">
        <v>1079</v>
      </c>
      <c r="D11" s="30"/>
      <c r="E11" s="30">
        <v>1742</v>
      </c>
      <c r="F11" s="30"/>
      <c r="G11" s="30">
        <v>16439</v>
      </c>
      <c r="H11" s="30"/>
      <c r="I11" s="30">
        <v>5322</v>
      </c>
      <c r="J11" s="30"/>
      <c r="K11" s="30">
        <v>6079</v>
      </c>
      <c r="L11" s="30"/>
      <c r="M11" s="30">
        <v>5654</v>
      </c>
      <c r="N11" s="30"/>
      <c r="O11" s="30">
        <v>136</v>
      </c>
      <c r="P11" s="30"/>
      <c r="Q11" s="30">
        <v>113</v>
      </c>
      <c r="R11" s="30"/>
      <c r="S11" s="30">
        <v>846</v>
      </c>
      <c r="T11" s="30"/>
      <c r="U11" s="30">
        <v>96</v>
      </c>
      <c r="V11" s="10"/>
      <c r="W11" s="10"/>
      <c r="X11" s="10"/>
      <c r="Y11" s="10"/>
    </row>
    <row r="12" spans="1:33" s="1" customFormat="1" ht="10.15" customHeight="1">
      <c r="A12" s="28" t="s">
        <v>19</v>
      </c>
      <c r="B12" s="10"/>
      <c r="C12" s="30">
        <v>1238</v>
      </c>
      <c r="D12" s="30"/>
      <c r="E12" s="30">
        <v>1943</v>
      </c>
      <c r="F12" s="30"/>
      <c r="G12" s="30">
        <v>19812</v>
      </c>
      <c r="H12" s="30"/>
      <c r="I12" s="30">
        <v>5913</v>
      </c>
      <c r="J12" s="30"/>
      <c r="K12" s="30">
        <v>6614</v>
      </c>
      <c r="L12" s="30"/>
      <c r="M12" s="30">
        <v>6226</v>
      </c>
      <c r="N12" s="30"/>
      <c r="O12" s="30">
        <v>146</v>
      </c>
      <c r="P12" s="30"/>
      <c r="Q12" s="30">
        <v>141</v>
      </c>
      <c r="R12" s="30"/>
      <c r="S12" s="30">
        <v>1065</v>
      </c>
      <c r="T12" s="30"/>
      <c r="U12" s="30">
        <v>108</v>
      </c>
      <c r="V12" s="10"/>
      <c r="W12" s="10"/>
      <c r="X12" s="10"/>
      <c r="Y12" s="10"/>
    </row>
    <row r="13" spans="1:33" s="1" customFormat="1" ht="10.15" customHeight="1">
      <c r="A13" s="28" t="s">
        <v>20</v>
      </c>
      <c r="B13" s="10"/>
      <c r="C13" s="30">
        <v>1361</v>
      </c>
      <c r="D13" s="30"/>
      <c r="E13" s="30">
        <v>2172</v>
      </c>
      <c r="F13" s="30"/>
      <c r="G13" s="30">
        <v>23312</v>
      </c>
      <c r="H13" s="30"/>
      <c r="I13" s="30">
        <v>6511</v>
      </c>
      <c r="J13" s="30"/>
      <c r="K13" s="30">
        <v>7916</v>
      </c>
      <c r="L13" s="30"/>
      <c r="M13" s="30">
        <v>7104</v>
      </c>
      <c r="N13" s="30"/>
      <c r="O13" s="30">
        <v>150</v>
      </c>
      <c r="P13" s="30"/>
      <c r="Q13" s="30">
        <v>146</v>
      </c>
      <c r="R13" s="30"/>
      <c r="S13" s="30">
        <v>1313</v>
      </c>
      <c r="T13" s="30"/>
      <c r="U13" s="30">
        <v>118</v>
      </c>
      <c r="V13" s="10"/>
      <c r="W13" s="10"/>
      <c r="X13" s="10"/>
      <c r="Y13" s="10"/>
    </row>
    <row r="14" spans="1:33" s="1" customFormat="1" ht="10.15" customHeight="1">
      <c r="A14" s="28" t="s">
        <v>21</v>
      </c>
      <c r="B14" s="10"/>
      <c r="C14" s="30">
        <v>1503</v>
      </c>
      <c r="D14" s="30"/>
      <c r="E14" s="30">
        <v>2384</v>
      </c>
      <c r="F14" s="30"/>
      <c r="G14" s="30">
        <v>27006</v>
      </c>
      <c r="H14" s="30"/>
      <c r="I14" s="30">
        <v>6783</v>
      </c>
      <c r="J14" s="30"/>
      <c r="K14" s="30">
        <v>8057</v>
      </c>
      <c r="L14" s="30"/>
      <c r="M14" s="30">
        <v>7317</v>
      </c>
      <c r="N14" s="30"/>
      <c r="O14" s="30">
        <v>155</v>
      </c>
      <c r="P14" s="30"/>
      <c r="Q14" s="30">
        <v>156</v>
      </c>
      <c r="R14" s="30"/>
      <c r="S14" s="30">
        <v>1416</v>
      </c>
      <c r="T14" s="30"/>
      <c r="U14" s="30">
        <v>129</v>
      </c>
      <c r="V14" s="10"/>
      <c r="W14" s="10"/>
      <c r="X14" s="10"/>
      <c r="Y14" s="10"/>
    </row>
    <row r="15" spans="1:33" s="1" customFormat="1" ht="10.15" customHeight="1">
      <c r="A15" s="28" t="s">
        <v>22</v>
      </c>
      <c r="B15" s="10"/>
      <c r="C15" s="30">
        <v>1569</v>
      </c>
      <c r="D15" s="30"/>
      <c r="E15" s="30">
        <v>2552</v>
      </c>
      <c r="F15" s="30"/>
      <c r="G15" s="30">
        <v>30170</v>
      </c>
      <c r="H15" s="30"/>
      <c r="I15" s="30">
        <v>7314</v>
      </c>
      <c r="J15" s="30"/>
      <c r="K15" s="30">
        <v>8599</v>
      </c>
      <c r="L15" s="30"/>
      <c r="M15" s="30">
        <v>7847</v>
      </c>
      <c r="N15" s="30"/>
      <c r="O15" s="30">
        <v>156</v>
      </c>
      <c r="P15" s="30"/>
      <c r="Q15" s="30">
        <v>164</v>
      </c>
      <c r="R15" s="30"/>
      <c r="S15" s="30">
        <v>1768</v>
      </c>
      <c r="T15" s="30"/>
      <c r="U15" s="30">
        <v>141</v>
      </c>
      <c r="V15" s="10"/>
      <c r="W15" s="10"/>
      <c r="X15" s="10"/>
      <c r="Y15" s="10"/>
    </row>
    <row r="16" spans="1:33" s="1" customFormat="1" ht="10.15" customHeight="1">
      <c r="A16" s="28" t="s">
        <v>23</v>
      </c>
      <c r="B16" s="10"/>
      <c r="C16" s="30">
        <v>1719</v>
      </c>
      <c r="D16" s="30"/>
      <c r="E16" s="30">
        <v>2753</v>
      </c>
      <c r="F16" s="30"/>
      <c r="G16" s="30">
        <v>32238</v>
      </c>
      <c r="H16" s="30"/>
      <c r="I16" s="30">
        <v>7868</v>
      </c>
      <c r="J16" s="30"/>
      <c r="K16" s="30">
        <v>9278</v>
      </c>
      <c r="L16" s="30"/>
      <c r="M16" s="30">
        <v>8427</v>
      </c>
      <c r="N16" s="30"/>
      <c r="O16" s="30">
        <v>163</v>
      </c>
      <c r="P16" s="30"/>
      <c r="Q16" s="30">
        <v>178</v>
      </c>
      <c r="R16" s="30"/>
      <c r="S16" s="30">
        <v>2092</v>
      </c>
      <c r="T16" s="30"/>
      <c r="U16" s="30">
        <v>166</v>
      </c>
      <c r="V16" s="10"/>
      <c r="W16" s="10"/>
      <c r="X16" s="10"/>
      <c r="Y16" s="10"/>
    </row>
    <row r="17" spans="1:27" s="1" customFormat="1" ht="10.15" customHeight="1">
      <c r="A17" s="28" t="s">
        <v>24</v>
      </c>
      <c r="B17" s="10"/>
      <c r="C17" s="30">
        <v>1821</v>
      </c>
      <c r="D17" s="30"/>
      <c r="E17" s="30">
        <v>2924</v>
      </c>
      <c r="F17" s="30"/>
      <c r="G17" s="30">
        <v>35089</v>
      </c>
      <c r="H17" s="30"/>
      <c r="I17" s="30">
        <v>8182</v>
      </c>
      <c r="J17" s="30"/>
      <c r="K17" s="30">
        <v>9910</v>
      </c>
      <c r="L17" s="30"/>
      <c r="M17" s="30">
        <v>8887</v>
      </c>
      <c r="N17" s="30"/>
      <c r="O17" s="30">
        <v>171</v>
      </c>
      <c r="P17" s="30"/>
      <c r="Q17" s="30">
        <v>185</v>
      </c>
      <c r="R17" s="30"/>
      <c r="S17" s="30">
        <v>2278</v>
      </c>
      <c r="T17" s="30"/>
      <c r="U17" s="30">
        <v>183</v>
      </c>
      <c r="V17" s="10"/>
      <c r="W17" s="10"/>
      <c r="X17" s="10"/>
      <c r="Y17" s="10"/>
    </row>
    <row r="18" spans="1:27" s="1" customFormat="1" ht="10.15" customHeight="1">
      <c r="A18" s="28" t="s">
        <v>25</v>
      </c>
      <c r="B18" s="10"/>
      <c r="C18" s="30">
        <v>1949</v>
      </c>
      <c r="D18" s="30"/>
      <c r="E18" s="30">
        <v>3000</v>
      </c>
      <c r="F18" s="30"/>
      <c r="G18" s="30">
        <v>37490</v>
      </c>
      <c r="H18" s="30"/>
      <c r="I18" s="30">
        <v>8571</v>
      </c>
      <c r="J18" s="30"/>
      <c r="K18" s="30">
        <v>10432</v>
      </c>
      <c r="L18" s="30"/>
      <c r="M18" s="30">
        <v>9322</v>
      </c>
      <c r="N18" s="30"/>
      <c r="O18" s="30">
        <v>181</v>
      </c>
      <c r="P18" s="30"/>
      <c r="Q18" s="30">
        <v>203</v>
      </c>
      <c r="R18" s="30"/>
      <c r="S18" s="30">
        <v>2777</v>
      </c>
      <c r="T18" s="30"/>
      <c r="U18" s="30">
        <v>198</v>
      </c>
      <c r="V18" s="10"/>
      <c r="W18" s="10"/>
      <c r="X18" s="10"/>
      <c r="Y18" s="10"/>
    </row>
    <row r="19" spans="1:27" s="1" customFormat="1" ht="10.15" customHeight="1">
      <c r="A19" s="28" t="s">
        <v>26</v>
      </c>
      <c r="B19" s="10"/>
      <c r="C19" s="30">
        <v>2126</v>
      </c>
      <c r="D19" s="30"/>
      <c r="E19" s="30">
        <v>3151</v>
      </c>
      <c r="F19" s="30"/>
      <c r="G19" s="30">
        <v>41413</v>
      </c>
      <c r="H19" s="30"/>
      <c r="I19" s="30">
        <v>9153</v>
      </c>
      <c r="J19" s="30"/>
      <c r="K19" s="30">
        <v>10971</v>
      </c>
      <c r="L19" s="30"/>
      <c r="M19" s="30">
        <v>9880</v>
      </c>
      <c r="N19" s="30"/>
      <c r="O19" s="30">
        <v>193</v>
      </c>
      <c r="P19" s="30"/>
      <c r="Q19" s="30">
        <v>229</v>
      </c>
      <c r="R19" s="30"/>
      <c r="S19" s="30">
        <v>3542</v>
      </c>
      <c r="T19" s="30"/>
      <c r="U19" s="30">
        <v>215</v>
      </c>
      <c r="V19" s="10"/>
      <c r="W19" s="10"/>
      <c r="X19" s="10"/>
      <c r="Y19" s="10"/>
    </row>
    <row r="20" spans="1:27" s="1" customFormat="1" ht="10.15" customHeight="1">
      <c r="A20" s="28" t="s">
        <v>27</v>
      </c>
      <c r="B20" s="10"/>
      <c r="C20" s="30">
        <v>2318</v>
      </c>
      <c r="D20" s="30"/>
      <c r="E20" s="30">
        <v>3251</v>
      </c>
      <c r="F20" s="30"/>
      <c r="G20" s="30">
        <v>44999</v>
      </c>
      <c r="H20" s="30"/>
      <c r="I20" s="30">
        <v>9994</v>
      </c>
      <c r="J20" s="30"/>
      <c r="K20" s="30">
        <v>11809</v>
      </c>
      <c r="L20" s="30"/>
      <c r="M20" s="30">
        <v>10696</v>
      </c>
      <c r="N20" s="30"/>
      <c r="O20" s="30">
        <v>217</v>
      </c>
      <c r="P20" s="30"/>
      <c r="Q20" s="30">
        <v>250</v>
      </c>
      <c r="R20" s="30"/>
      <c r="S20" s="30">
        <v>4225</v>
      </c>
      <c r="T20" s="30"/>
      <c r="U20" s="30">
        <v>232</v>
      </c>
      <c r="V20" s="10"/>
      <c r="W20" s="10"/>
      <c r="X20" s="10"/>
      <c r="Y20" s="10"/>
    </row>
    <row r="21" spans="1:27" s="1" customFormat="1" ht="10.15" customHeight="1">
      <c r="A21" s="28" t="s">
        <v>28</v>
      </c>
      <c r="B21" s="10"/>
      <c r="C21" s="30">
        <v>2568.16</v>
      </c>
      <c r="D21" s="30"/>
      <c r="E21" s="30">
        <v>3630.23</v>
      </c>
      <c r="F21" s="30"/>
      <c r="G21" s="30">
        <v>50047.96</v>
      </c>
      <c r="H21" s="30"/>
      <c r="I21" s="30">
        <v>11235.95</v>
      </c>
      <c r="J21" s="30"/>
      <c r="K21" s="30">
        <v>13356.35</v>
      </c>
      <c r="L21" s="30"/>
      <c r="M21" s="30">
        <v>12108</v>
      </c>
      <c r="N21" s="30"/>
      <c r="O21" s="30">
        <v>235.28</v>
      </c>
      <c r="P21" s="30"/>
      <c r="Q21" s="30">
        <v>268.74</v>
      </c>
      <c r="R21" s="30"/>
      <c r="S21" s="30">
        <v>4733.01</v>
      </c>
      <c r="T21" s="30"/>
      <c r="U21" s="30">
        <v>255.59</v>
      </c>
      <c r="V21" s="10"/>
      <c r="W21" s="10"/>
      <c r="X21" s="10"/>
      <c r="Y21" s="10"/>
    </row>
    <row r="22" spans="1:27" s="1" customFormat="1" ht="10.15" customHeight="1">
      <c r="A22" s="28" t="s">
        <v>29</v>
      </c>
      <c r="B22" s="10"/>
      <c r="C22" s="30">
        <v>2752.01</v>
      </c>
      <c r="D22" s="30"/>
      <c r="E22" s="30">
        <v>3958.96</v>
      </c>
      <c r="F22" s="30"/>
      <c r="G22" s="30">
        <v>52791.11</v>
      </c>
      <c r="H22" s="30"/>
      <c r="I22" s="30">
        <v>12222.17</v>
      </c>
      <c r="J22" s="30"/>
      <c r="K22" s="30">
        <v>14137.05</v>
      </c>
      <c r="L22" s="30"/>
      <c r="M22" s="30">
        <v>13893</v>
      </c>
      <c r="N22" s="30"/>
      <c r="O22" s="30">
        <v>258.70999999999998</v>
      </c>
      <c r="P22" s="30"/>
      <c r="Q22" s="30">
        <v>305.04000000000002</v>
      </c>
      <c r="R22" s="30"/>
      <c r="S22" s="30">
        <v>5069.91</v>
      </c>
      <c r="T22" s="30"/>
      <c r="U22" s="30">
        <v>277</v>
      </c>
      <c r="V22" s="10"/>
      <c r="W22" s="10"/>
      <c r="X22" s="10"/>
      <c r="Y22" s="10"/>
    </row>
    <row r="23" spans="1:27" s="1" customFormat="1" ht="10.15" customHeight="1">
      <c r="A23" s="28" t="s">
        <v>30</v>
      </c>
      <c r="B23" s="10"/>
      <c r="C23" s="30">
        <v>2937</v>
      </c>
      <c r="D23" s="30"/>
      <c r="E23" s="30">
        <v>4091</v>
      </c>
      <c r="F23" s="30"/>
      <c r="G23" s="30">
        <v>56636</v>
      </c>
      <c r="H23" s="30"/>
      <c r="I23" s="30">
        <v>11379</v>
      </c>
      <c r="J23" s="30"/>
      <c r="K23" s="30">
        <v>15365</v>
      </c>
      <c r="L23" s="30"/>
      <c r="M23" s="30">
        <v>14969</v>
      </c>
      <c r="N23" s="30"/>
      <c r="O23" s="30">
        <v>282</v>
      </c>
      <c r="P23" s="30"/>
      <c r="Q23" s="30">
        <v>349</v>
      </c>
      <c r="R23" s="30"/>
      <c r="S23" s="30">
        <v>5279</v>
      </c>
      <c r="T23" s="30"/>
      <c r="U23" s="30">
        <v>308</v>
      </c>
      <c r="V23" s="10"/>
      <c r="W23" s="10"/>
      <c r="X23" s="10"/>
      <c r="Y23" s="10"/>
    </row>
    <row r="24" spans="1:27" s="1" customFormat="1" ht="10.15" customHeight="1">
      <c r="A24" s="28" t="s">
        <v>31</v>
      </c>
      <c r="B24" s="10"/>
      <c r="C24" s="30">
        <v>3042</v>
      </c>
      <c r="D24" s="30"/>
      <c r="E24" s="30">
        <v>4366</v>
      </c>
      <c r="F24" s="30"/>
      <c r="G24" s="30">
        <v>59156</v>
      </c>
      <c r="H24" s="30"/>
      <c r="I24" s="30"/>
      <c r="J24" s="30"/>
      <c r="K24" s="30"/>
      <c r="L24" s="30"/>
      <c r="M24" s="30">
        <v>15798</v>
      </c>
      <c r="N24" s="30"/>
      <c r="O24" s="30">
        <v>293</v>
      </c>
      <c r="P24" s="30"/>
      <c r="Q24" s="30">
        <v>378</v>
      </c>
      <c r="R24" s="30"/>
      <c r="S24" s="30">
        <v>5250</v>
      </c>
      <c r="T24" s="30"/>
      <c r="U24" s="30">
        <v>333</v>
      </c>
      <c r="V24" s="10"/>
      <c r="W24" s="10"/>
      <c r="X24" s="10"/>
      <c r="Y24" s="10"/>
    </row>
    <row r="25" spans="1:27" s="1" customFormat="1" ht="10.15" customHeight="1">
      <c r="A25" s="28" t="s">
        <v>32</v>
      </c>
      <c r="B25" s="10"/>
      <c r="C25" s="30">
        <v>3089</v>
      </c>
      <c r="D25" s="30"/>
      <c r="E25" s="30">
        <v>4463</v>
      </c>
      <c r="F25" s="30"/>
      <c r="G25" s="30">
        <v>52497</v>
      </c>
      <c r="H25" s="30"/>
      <c r="I25" s="30"/>
      <c r="J25" s="30"/>
      <c r="K25" s="30"/>
      <c r="L25" s="30"/>
      <c r="M25" s="30">
        <v>16531</v>
      </c>
      <c r="N25" s="30"/>
      <c r="O25" s="30">
        <v>296</v>
      </c>
      <c r="P25" s="30"/>
      <c r="Q25" s="30">
        <v>383</v>
      </c>
      <c r="R25" s="30"/>
      <c r="S25" s="30">
        <v>5446</v>
      </c>
      <c r="T25" s="30"/>
      <c r="U25" s="30">
        <v>363</v>
      </c>
      <c r="V25" s="30"/>
      <c r="W25" s="30"/>
      <c r="X25" s="30"/>
      <c r="Y25" s="30"/>
      <c r="Z25" s="31"/>
      <c r="AA25" s="31"/>
    </row>
    <row r="26" spans="1:27" s="1" customFormat="1" ht="10.15" customHeight="1">
      <c r="A26" s="28">
        <v>1995</v>
      </c>
      <c r="B26" s="10"/>
      <c r="C26" s="30">
        <v>3311</v>
      </c>
      <c r="D26" s="30"/>
      <c r="E26" s="30">
        <v>4735</v>
      </c>
      <c r="F26" s="30"/>
      <c r="G26" s="30">
        <v>68613</v>
      </c>
      <c r="H26" s="30"/>
      <c r="I26" s="30"/>
      <c r="J26" s="30"/>
      <c r="K26" s="30"/>
      <c r="L26" s="30"/>
      <c r="M26" s="30">
        <v>17424</v>
      </c>
      <c r="N26" s="30"/>
      <c r="O26" s="30">
        <v>309</v>
      </c>
      <c r="P26" s="30"/>
      <c r="Q26" s="30">
        <v>397</v>
      </c>
      <c r="R26" s="30"/>
      <c r="S26" s="30">
        <v>5740</v>
      </c>
      <c r="T26" s="30"/>
      <c r="U26" s="30">
        <v>413</v>
      </c>
      <c r="V26" s="30"/>
      <c r="W26" s="30"/>
      <c r="X26" s="30"/>
      <c r="Y26" s="30"/>
      <c r="Z26" s="31"/>
      <c r="AA26" s="31"/>
    </row>
    <row r="27" spans="1:27" s="1" customFormat="1" ht="10.15" customHeight="1">
      <c r="A27" s="28">
        <v>1996</v>
      </c>
      <c r="B27" s="10"/>
      <c r="C27" s="30">
        <v>3369</v>
      </c>
      <c r="D27" s="30"/>
      <c r="E27" s="30">
        <v>4696</v>
      </c>
      <c r="F27" s="30"/>
      <c r="G27" s="30">
        <v>68232</v>
      </c>
      <c r="H27" s="30"/>
      <c r="I27" s="30"/>
      <c r="J27" s="30"/>
      <c r="K27" s="30"/>
      <c r="L27" s="30"/>
      <c r="M27" s="30">
        <v>18589</v>
      </c>
      <c r="N27" s="30"/>
      <c r="O27" s="30">
        <v>317</v>
      </c>
      <c r="P27" s="30"/>
      <c r="Q27" s="30">
        <v>409</v>
      </c>
      <c r="R27" s="30"/>
      <c r="S27" s="30">
        <v>6293</v>
      </c>
      <c r="T27" s="30"/>
      <c r="U27" s="30">
        <v>474</v>
      </c>
      <c r="V27" s="30"/>
      <c r="W27" s="30"/>
      <c r="X27" s="30"/>
      <c r="Y27" s="30"/>
      <c r="Z27" s="31"/>
      <c r="AA27" s="31"/>
    </row>
    <row r="28" spans="1:27" s="1" customFormat="1" ht="10.15" customHeight="1">
      <c r="A28" s="28">
        <v>1997</v>
      </c>
      <c r="B28" s="10"/>
      <c r="C28" s="30">
        <f>124429756495/34872275</f>
        <v>3568.1571246785593</v>
      </c>
      <c r="D28" s="30"/>
      <c r="E28" s="30">
        <f>23142574351/4745579</f>
        <v>4876.6598029450151</v>
      </c>
      <c r="F28" s="30"/>
      <c r="G28" s="30">
        <f>9798302785/136025</f>
        <v>72033.102628193345</v>
      </c>
      <c r="H28" s="30"/>
      <c r="I28" s="30"/>
      <c r="J28" s="30"/>
      <c r="K28" s="30"/>
      <c r="L28" s="30"/>
      <c r="M28" s="30">
        <f>30503842614/1603018</f>
        <v>19029.008167094817</v>
      </c>
      <c r="N28" s="30"/>
      <c r="O28" s="30">
        <f>7041038648/21170194</f>
        <v>332.59207015297073</v>
      </c>
      <c r="P28" s="30"/>
      <c r="Q28" s="30">
        <f>6168996403/13632034</f>
        <v>452.53675298931915</v>
      </c>
      <c r="R28" s="30"/>
      <c r="S28" s="30">
        <f>12236599938/1861124</f>
        <v>6574.8439856774721</v>
      </c>
      <c r="T28" s="30"/>
      <c r="U28" s="30">
        <f>11972331192/20954163</f>
        <v>571.35812067511358</v>
      </c>
      <c r="V28" s="30"/>
      <c r="W28" s="30"/>
      <c r="X28" s="30"/>
      <c r="Y28" s="30"/>
      <c r="Z28" s="31"/>
      <c r="AA28" s="31"/>
    </row>
    <row r="29" spans="1:27" s="1" customFormat="1" ht="10.15" customHeight="1">
      <c r="A29" s="28">
        <v>1998</v>
      </c>
      <c r="B29" s="10"/>
      <c r="C29" s="30">
        <f>142259878609/40096169</f>
        <v>3547.9668546139656</v>
      </c>
      <c r="D29" s="30"/>
      <c r="E29" s="30">
        <f>21440677147/4270050</f>
        <v>5021.1770698235387</v>
      </c>
      <c r="F29" s="30"/>
      <c r="G29" s="30">
        <f>9481723907/126490</f>
        <v>74960.26489841094</v>
      </c>
      <c r="H29" s="30"/>
      <c r="I29" s="30"/>
      <c r="J29" s="30"/>
      <c r="K29" s="30"/>
      <c r="L29" s="30"/>
      <c r="M29" s="30">
        <f>31892064551/1645728</f>
        <v>19378.697178999202</v>
      </c>
      <c r="N29" s="30"/>
      <c r="O29" s="30">
        <f>6070022680/18552787</f>
        <v>327.17578658128292</v>
      </c>
      <c r="P29" s="30"/>
      <c r="Q29" s="30">
        <f>5758982745/12157729</f>
        <v>473.68902078669464</v>
      </c>
      <c r="R29" s="30"/>
      <c r="S29" s="30">
        <f>2701512000/1224714</f>
        <v>2205.830912359947</v>
      </c>
      <c r="T29" s="30"/>
      <c r="U29" s="30">
        <f>13521707689/19337543</f>
        <v>699.24641868928234</v>
      </c>
      <c r="V29" s="30"/>
      <c r="W29" s="30"/>
      <c r="X29" s="30"/>
      <c r="Y29" s="30"/>
      <c r="Z29" s="31"/>
      <c r="AA29" s="31"/>
    </row>
    <row r="30" spans="1:27" s="1" customFormat="1" ht="10.15" customHeight="1">
      <c r="A30" s="28">
        <v>1999</v>
      </c>
      <c r="B30" s="10"/>
      <c r="C30" s="30">
        <f>153479357882/40184407</f>
        <v>3819.375955504333</v>
      </c>
      <c r="D30" s="30"/>
      <c r="E30" s="30">
        <f>22230055497/4497190</f>
        <v>4943.0990233901612</v>
      </c>
      <c r="F30" s="30"/>
      <c r="G30" s="30">
        <f>9332299650/122082</f>
        <v>76442.8797857178</v>
      </c>
      <c r="H30" s="30"/>
      <c r="I30" s="30"/>
      <c r="J30" s="30"/>
      <c r="K30" s="30"/>
      <c r="L30" s="30"/>
      <c r="M30" s="30">
        <f>33251160195/1616664</f>
        <v>20567.761881875271</v>
      </c>
      <c r="N30" s="30"/>
      <c r="O30" s="30">
        <f>6555991341/18373483</f>
        <v>356.81810253396156</v>
      </c>
      <c r="P30" s="30"/>
      <c r="Q30" s="30">
        <f>6093610707/12417078</f>
        <v>490.74433671110063</v>
      </c>
      <c r="R30" s="30"/>
      <c r="S30" s="30">
        <f>2905559797/813632</f>
        <v>3571.0982323704084</v>
      </c>
      <c r="T30" s="30"/>
      <c r="U30" s="30">
        <f>16611636945/19854952</f>
        <v>836.64956455195659</v>
      </c>
      <c r="V30" s="30"/>
      <c r="W30" s="30"/>
      <c r="X30" s="30"/>
      <c r="Y30" s="30"/>
      <c r="Z30" s="31"/>
      <c r="AA30" s="31"/>
    </row>
    <row r="31" spans="1:27" s="1" customFormat="1" ht="10.15" customHeight="1">
      <c r="A31" s="28">
        <v>2000</v>
      </c>
      <c r="B31" s="10"/>
      <c r="C31" s="30">
        <f>168307231426/42763233</f>
        <v>3935.7929608830091</v>
      </c>
      <c r="D31" s="30"/>
      <c r="E31" s="32">
        <f>24265794997/4933277</f>
        <v>4918.7983964816895</v>
      </c>
      <c r="F31" s="32"/>
      <c r="G31" s="32">
        <f>9374506773/118171</f>
        <v>79330.011364886479</v>
      </c>
      <c r="H31" s="32"/>
      <c r="I31" s="32" t="e">
        <f>#REF!/0.245071</f>
        <v>#REF!</v>
      </c>
      <c r="J31" s="32" t="e">
        <f>#REF!/0.245071</f>
        <v>#REF!</v>
      </c>
      <c r="K31" s="32" t="e">
        <f>#REF!/0.245071</f>
        <v>#REF!</v>
      </c>
      <c r="L31" s="32" t="e">
        <f>#REF!/0.245071</f>
        <v>#REF!</v>
      </c>
      <c r="M31" s="32">
        <f>34432018376/1702885</f>
        <v>20219.814242300567</v>
      </c>
      <c r="N31" s="32"/>
      <c r="O31" s="32">
        <f>6805694595/19103558</f>
        <v>356.25272501593685</v>
      </c>
      <c r="P31" s="32"/>
      <c r="Q31" s="32">
        <f>7053041842/13226305</f>
        <v>533.2586721688333</v>
      </c>
      <c r="R31" s="32"/>
      <c r="S31" s="32">
        <f>3118966203/994801</f>
        <v>3135.2664532906583</v>
      </c>
      <c r="T31" s="32"/>
      <c r="U31" s="32">
        <f>20013770558/20516882</f>
        <v>975.47817246304771</v>
      </c>
      <c r="V31" s="30"/>
      <c r="W31" s="30"/>
      <c r="X31" s="30"/>
      <c r="Y31" s="30"/>
      <c r="Z31" s="31"/>
      <c r="AA31" s="31"/>
    </row>
    <row r="32" spans="1:27" s="1" customFormat="1" ht="10.15" customHeight="1">
      <c r="A32" s="28">
        <v>2001</v>
      </c>
      <c r="B32" s="10"/>
      <c r="C32" s="30">
        <f>186905014208/45765714</f>
        <v>4083.9527644646819</v>
      </c>
      <c r="D32" s="30"/>
      <c r="E32" s="32">
        <f>26082798880/4899593</f>
        <v>5323.4623528933935</v>
      </c>
      <c r="F32" s="32"/>
      <c r="G32" s="32">
        <f>9702397499/116653</f>
        <v>83173.150274746469</v>
      </c>
      <c r="H32" s="32"/>
      <c r="I32" s="32"/>
      <c r="J32" s="32"/>
      <c r="K32" s="32"/>
      <c r="L32" s="32"/>
      <c r="M32" s="32">
        <f>37306359345/1701245</f>
        <v>21928.857598405873</v>
      </c>
      <c r="N32" s="32"/>
      <c r="O32" s="32">
        <f>7499591572/20183776</f>
        <v>371.56533901287844</v>
      </c>
      <c r="P32" s="32"/>
      <c r="Q32" s="32">
        <f>7569847254/13815353</f>
        <v>547.93006403817549</v>
      </c>
      <c r="R32" s="32"/>
      <c r="S32" s="32">
        <f>3514226853/1011346</f>
        <v>3474.8017523181979</v>
      </c>
      <c r="T32" s="32"/>
      <c r="U32" s="32">
        <f>23839174319/22040142</f>
        <v>1081.6252599007755</v>
      </c>
      <c r="V32" s="30"/>
      <c r="W32" s="30"/>
      <c r="X32" s="30"/>
      <c r="Y32" s="30"/>
      <c r="Z32" s="31"/>
      <c r="AA32" s="31"/>
    </row>
    <row r="33" spans="1:27" s="1" customFormat="1" ht="10.15" customHeight="1">
      <c r="A33" s="28">
        <v>2002</v>
      </c>
      <c r="B33" s="10"/>
      <c r="C33" s="30">
        <f>213496606630/49328625</f>
        <v>4328.0469834705509</v>
      </c>
      <c r="D33" s="30"/>
      <c r="E33" s="32">
        <f>29122625114/5045949</f>
        <v>5771.4862187469589</v>
      </c>
      <c r="F33" s="32"/>
      <c r="G33" s="32">
        <f>10676006020/116566</f>
        <v>91587.650086646187</v>
      </c>
      <c r="H33" s="32"/>
      <c r="I33" s="32"/>
      <c r="J33" s="32"/>
      <c r="K33" s="32"/>
      <c r="L33" s="32"/>
      <c r="M33" s="32">
        <f>39286296488/1759661</f>
        <v>22326.059671720861</v>
      </c>
      <c r="N33" s="32"/>
      <c r="O33" s="32">
        <f>8348636647/22065228</f>
        <v>378.36167598177548</v>
      </c>
      <c r="P33" s="32"/>
      <c r="Q33" s="32">
        <f>8469136311/14830953</f>
        <v>571.04464635549721</v>
      </c>
      <c r="R33" s="32"/>
      <c r="S33" s="32">
        <f>3925707428/1064274</f>
        <v>3688.6247601651453</v>
      </c>
      <c r="T33" s="32"/>
      <c r="U33" s="32">
        <f>28403926779/24379685</f>
        <v>1165.0653722146124</v>
      </c>
      <c r="V33" s="30"/>
      <c r="W33" s="30"/>
      <c r="X33" s="30"/>
      <c r="Y33" s="30"/>
      <c r="Z33" s="31"/>
      <c r="AA33" s="31"/>
    </row>
    <row r="34" spans="1:27" s="1" customFormat="1" ht="10.15" customHeight="1">
      <c r="A34" s="28">
        <v>2003</v>
      </c>
      <c r="B34" s="10"/>
      <c r="C34" s="30">
        <f>233205998192/51971173</f>
        <v>4487.218292956366</v>
      </c>
      <c r="D34" s="30"/>
      <c r="E34" s="32">
        <f>31549248411/5217106</f>
        <v>6047.2699636541793</v>
      </c>
      <c r="F34" s="32"/>
      <c r="G34" s="32">
        <f>10861243599/113984</f>
        <v>95287.44033373105</v>
      </c>
      <c r="H34" s="32"/>
      <c r="I34" s="32"/>
      <c r="J34" s="32"/>
      <c r="K34" s="32"/>
      <c r="L34" s="32"/>
      <c r="M34" s="32">
        <f>40381022223/1690846</f>
        <v>23882.140788102522</v>
      </c>
      <c r="N34" s="32"/>
      <c r="O34" s="32">
        <f>9209880046/22857218</f>
        <v>402.93092737707627</v>
      </c>
      <c r="P34" s="32"/>
      <c r="Q34" s="32">
        <f>9251889428/15510542</f>
        <v>596.49040168938006</v>
      </c>
      <c r="R34" s="32"/>
      <c r="S34" s="32">
        <f>4403905141/1183764</f>
        <v>3720.2560147123918</v>
      </c>
      <c r="T34" s="32"/>
      <c r="U34" s="32">
        <f>33714314456/26075011</f>
        <v>1292.974122081866</v>
      </c>
      <c r="V34" s="30"/>
      <c r="W34" s="30"/>
      <c r="X34" s="30"/>
      <c r="Y34" s="30"/>
      <c r="Z34" s="31"/>
      <c r="AA34" s="31"/>
    </row>
    <row r="35" spans="1:27" s="1" customFormat="1" ht="10.15" customHeight="1">
      <c r="A35" s="28">
        <v>2004</v>
      </c>
      <c r="B35" s="10"/>
      <c r="C35" s="30">
        <f>257748435309/55002107</f>
        <v>4686.1556650729763</v>
      </c>
      <c r="D35" s="30"/>
      <c r="E35" s="32">
        <f>34914457404/5425463</f>
        <v>6435.2954584705494</v>
      </c>
      <c r="F35" s="32"/>
      <c r="G35" s="32">
        <f>11192580251/113883</f>
        <v>98281.396266343523</v>
      </c>
      <c r="H35" s="32"/>
      <c r="I35" s="32"/>
      <c r="J35" s="32"/>
      <c r="K35" s="32"/>
      <c r="L35" s="32"/>
      <c r="M35" s="32">
        <f>42007526640/1708675</f>
        <v>24584.854720763164</v>
      </c>
      <c r="N35" s="32"/>
      <c r="O35" s="32">
        <f>10060699732/23611570</f>
        <v>426.09194272130145</v>
      </c>
      <c r="P35" s="32"/>
      <c r="Q35" s="32">
        <f>10260565755/15887813</f>
        <v>645.81360285396113</v>
      </c>
      <c r="R35" s="32"/>
      <c r="S35" s="32">
        <f>4565865727/1145949</f>
        <v>3984.353341204539</v>
      </c>
      <c r="T35" s="32"/>
      <c r="U35" s="32">
        <f>39475607168/27548578</f>
        <v>1432.9453653832877</v>
      </c>
      <c r="V35" s="30"/>
      <c r="W35" s="30"/>
      <c r="X35" s="30"/>
      <c r="Y35" s="30"/>
      <c r="Z35" s="31"/>
      <c r="AA35" s="31"/>
    </row>
    <row r="36" spans="1:27" s="1" customFormat="1" ht="10.35" customHeight="1">
      <c r="A36" s="28">
        <v>2005</v>
      </c>
      <c r="B36" s="10"/>
      <c r="C36" s="30">
        <f>273202750172/57349022</f>
        <v>4763.8606665689958</v>
      </c>
      <c r="D36" s="30"/>
      <c r="E36" s="32">
        <f>34958562239/5461560</f>
        <v>6400.8382658068394</v>
      </c>
      <c r="F36" s="32"/>
      <c r="G36" s="32">
        <f>11697985071/109189</f>
        <v>107135.19741915395</v>
      </c>
      <c r="H36" s="32"/>
      <c r="I36" s="32"/>
      <c r="J36" s="32"/>
      <c r="K36" s="32"/>
      <c r="L36" s="32"/>
      <c r="M36" s="32">
        <f>44434838650/1702753</f>
        <v>26095.880406612116</v>
      </c>
      <c r="N36" s="32"/>
      <c r="O36" s="32">
        <f>11217836877/24029629</f>
        <v>466.83354441302441</v>
      </c>
      <c r="P36" s="32"/>
      <c r="Q36" s="32">
        <f>9939898791/16152839</f>
        <v>615.36543458397625</v>
      </c>
      <c r="R36" s="32"/>
      <c r="S36" s="32">
        <f>5354942515/1191713</f>
        <v>4493.4833428854099</v>
      </c>
      <c r="T36" s="32"/>
      <c r="U36" s="32">
        <f>42525257207/28161951</f>
        <v>1510.0252538256316</v>
      </c>
      <c r="V36" s="30"/>
      <c r="W36" s="30"/>
      <c r="X36" s="30"/>
      <c r="Y36" s="30"/>
      <c r="Z36" s="31"/>
      <c r="AA36" s="31"/>
    </row>
    <row r="37" spans="1:27" s="1" customFormat="1" ht="10.35" customHeight="1">
      <c r="A37" s="28">
        <v>2006</v>
      </c>
      <c r="B37" s="10"/>
      <c r="C37" s="30">
        <f>265048888075/57180890</f>
        <v>4635.2704212019089</v>
      </c>
      <c r="D37" s="30"/>
      <c r="E37" s="32">
        <f>35893454008/6211769</f>
        <v>5778.2982606082096</v>
      </c>
      <c r="F37" s="32"/>
      <c r="G37" s="32">
        <f>11794301384/106910</f>
        <v>110319.90818445421</v>
      </c>
      <c r="H37" s="32"/>
      <c r="I37" s="32"/>
      <c r="J37" s="32"/>
      <c r="K37" s="32"/>
      <c r="L37" s="32"/>
      <c r="M37" s="32">
        <f>45280770205/1707436</f>
        <v>26519.746687430743</v>
      </c>
      <c r="N37" s="32"/>
      <c r="O37" s="32">
        <f>10443055885/22982234</f>
        <v>454.39690001415875</v>
      </c>
      <c r="P37" s="32"/>
      <c r="Q37" s="32">
        <f>10120919223/15792406</f>
        <v>640.87253221580045</v>
      </c>
      <c r="R37" s="32"/>
      <c r="S37" s="32">
        <f>5905209707/1186007</f>
        <v>4979.0681732907142</v>
      </c>
      <c r="T37" s="32"/>
      <c r="U37" s="32">
        <f>27802397434/27009727</f>
        <v>1029.3475914806543</v>
      </c>
      <c r="V37" s="30"/>
      <c r="W37" s="30"/>
      <c r="X37" s="30"/>
      <c r="Y37" s="30"/>
      <c r="Z37" s="31"/>
      <c r="AA37" s="31"/>
    </row>
    <row r="38" spans="1:27" s="1" customFormat="1" ht="10.35" customHeight="1">
      <c r="A38" s="28">
        <v>2007</v>
      </c>
      <c r="B38" s="10"/>
      <c r="C38" s="30">
        <f>276246429453/56820750</f>
        <v>4861.7174087459243</v>
      </c>
      <c r="D38" s="30"/>
      <c r="E38" s="32">
        <f>36918814487/5134214</f>
        <v>7190.7432154171993</v>
      </c>
      <c r="F38" s="32"/>
      <c r="G38" s="32">
        <f>11778428377/103560</f>
        <v>113735.3068462727</v>
      </c>
      <c r="H38" s="32"/>
      <c r="I38" s="32"/>
      <c r="J38" s="32"/>
      <c r="K38" s="32"/>
      <c r="L38" s="32"/>
      <c r="M38" s="32">
        <f>46522890872/1644963</f>
        <v>28282.028758093646</v>
      </c>
      <c r="N38" s="32"/>
      <c r="O38" s="32">
        <f>10075454226/22046923</f>
        <v>457.00047240152287</v>
      </c>
      <c r="P38" s="32"/>
      <c r="Q38" s="32">
        <f>10358060516/14896456</f>
        <v>695.33723430593159</v>
      </c>
      <c r="R38" s="32"/>
      <c r="S38" s="32">
        <f>6347692206/1189968</f>
        <v>5334.338575491106</v>
      </c>
      <c r="T38" s="32"/>
      <c r="U38" s="32">
        <f>22159652400/23922907</f>
        <v>926.29430027044793</v>
      </c>
      <c r="V38" s="30"/>
      <c r="W38" s="30"/>
      <c r="X38" s="30"/>
      <c r="Y38" s="30"/>
      <c r="Z38" s="31"/>
      <c r="AA38" s="31"/>
    </row>
    <row r="39" spans="1:27" s="1" customFormat="1" ht="10.35" customHeight="1">
      <c r="A39" s="28">
        <v>2008</v>
      </c>
      <c r="B39" s="10"/>
      <c r="C39" s="30">
        <f>296829612488/58770540</f>
        <v>5050.6531416590697</v>
      </c>
      <c r="D39" s="30"/>
      <c r="E39" s="32">
        <f>37244803465/5258592</f>
        <v>7082.6570049549382</v>
      </c>
      <c r="F39" s="32"/>
      <c r="G39" s="32">
        <f>12557573287/102050</f>
        <v>123053.14342969132</v>
      </c>
      <c r="H39" s="32"/>
      <c r="I39" s="32"/>
      <c r="J39" s="32"/>
      <c r="K39" s="32"/>
      <c r="L39" s="32"/>
      <c r="M39" s="32">
        <f>47718387637/1615744</f>
        <v>29533.383776761664</v>
      </c>
      <c r="N39" s="32"/>
      <c r="O39" s="32">
        <f>10505645152/21660966</f>
        <v>485.00353825401879</v>
      </c>
      <c r="P39" s="32"/>
      <c r="Q39" s="32">
        <f>10880911264/14788589</f>
        <v>735.76399100684989</v>
      </c>
      <c r="R39" s="32"/>
      <c r="S39" s="32">
        <f>6620243214/1143561</f>
        <v>5789.1474210820415</v>
      </c>
      <c r="T39" s="32"/>
      <c r="U39" s="32">
        <f>23514969844/24578986</f>
        <v>956.71033150024982</v>
      </c>
      <c r="V39" s="30"/>
      <c r="W39" s="30"/>
      <c r="X39" s="30"/>
      <c r="Y39" s="30"/>
      <c r="Z39" s="31"/>
      <c r="AA39" s="31"/>
    </row>
    <row r="40" spans="1:27" s="1" customFormat="1" ht="10.15" customHeight="1">
      <c r="A40" s="28">
        <v>2009</v>
      </c>
      <c r="B40" s="10"/>
      <c r="C40" s="30">
        <f>325818622367/62362956</f>
        <v>5224.553858014684</v>
      </c>
      <c r="D40" s="30"/>
      <c r="E40" s="32">
        <f>38480958663/5442783</f>
        <v>7070.0887143580776</v>
      </c>
      <c r="F40" s="32"/>
      <c r="G40" s="32">
        <f>12876086372/100723</f>
        <v>127836.60506537733</v>
      </c>
      <c r="H40" s="32"/>
      <c r="I40" s="32"/>
      <c r="J40" s="32"/>
      <c r="K40" s="32"/>
      <c r="L40" s="32"/>
      <c r="M40" s="32">
        <f>48625120969/1645477</f>
        <v>29550.775227487225</v>
      </c>
      <c r="N40" s="32"/>
      <c r="O40" s="32">
        <f>11434713251/23070230</f>
        <v>495.64799531690841</v>
      </c>
      <c r="P40" s="32"/>
      <c r="Q40" s="32">
        <f>12153153043/16543746</f>
        <v>734.60708614602765</v>
      </c>
      <c r="R40" s="32"/>
      <c r="S40" s="32">
        <f>7204907335/1087053</f>
        <v>6627.9264534479917</v>
      </c>
      <c r="T40" s="32"/>
      <c r="U40" s="32">
        <f>25367327779/26686541</f>
        <v>950.56634649653552</v>
      </c>
      <c r="V40" s="30"/>
      <c r="W40" s="10"/>
      <c r="X40" s="10"/>
      <c r="Y40" s="10"/>
    </row>
    <row r="41" spans="1:27" s="1" customFormat="1" ht="11.25">
      <c r="A41" s="33" t="s">
        <v>33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7" s="1" customFormat="1" ht="11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7" s="1" customFormat="1" ht="11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7" s="1" customFormat="1" ht="11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7" s="1" customFormat="1" ht="11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7" s="1" customFormat="1" ht="11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7" s="1" customFormat="1" ht="11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7" s="1" customFormat="1" ht="11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6" s="1" customFormat="1" ht="11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6" s="1" customFormat="1" ht="11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6" s="2" customFormat="1" ht="15" customHeight="1">
      <c r="A51" s="53" t="s">
        <v>62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7"/>
      <c r="X51" s="7"/>
      <c r="Y51" s="7"/>
    </row>
    <row r="52" spans="1:26" s="3" customFormat="1" ht="15" customHeight="1">
      <c r="A52" s="57" t="s">
        <v>48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8"/>
      <c r="X52" s="8"/>
      <c r="Y52" s="8"/>
    </row>
    <row r="53" spans="1:26" s="3" customFormat="1" ht="15" customHeight="1">
      <c r="A53" s="56" t="s">
        <v>69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8"/>
      <c r="X53" s="8"/>
      <c r="Y53" s="8"/>
    </row>
    <row r="54" spans="1:26" s="1" customFormat="1" ht="10.15" customHeight="1">
      <c r="A54" s="34" t="s">
        <v>0</v>
      </c>
      <c r="B54" s="35"/>
      <c r="C54" s="11"/>
      <c r="D54" s="11"/>
      <c r="E54" s="20" t="s">
        <v>1</v>
      </c>
      <c r="F54" s="11"/>
      <c r="G54" s="11"/>
      <c r="H54" s="11"/>
      <c r="I54" s="11"/>
      <c r="J54" s="11"/>
      <c r="K54" s="21" t="s">
        <v>2</v>
      </c>
      <c r="L54" s="11"/>
      <c r="M54" s="20" t="s">
        <v>3</v>
      </c>
      <c r="N54" s="11"/>
      <c r="O54" s="11"/>
      <c r="P54" s="11"/>
      <c r="Q54" s="20" t="s">
        <v>4</v>
      </c>
      <c r="R54" s="11"/>
      <c r="S54" s="19" t="s">
        <v>5</v>
      </c>
      <c r="T54" s="11"/>
      <c r="U54" s="19" t="s">
        <v>6</v>
      </c>
      <c r="V54" s="11"/>
      <c r="W54" s="10"/>
      <c r="X54" s="10"/>
      <c r="Y54" s="10"/>
    </row>
    <row r="55" spans="1:26" s="1" customFormat="1" ht="14.25" customHeight="1">
      <c r="A55" s="28" t="s">
        <v>7</v>
      </c>
      <c r="B55" s="10"/>
      <c r="C55" s="24" t="s">
        <v>42</v>
      </c>
      <c r="D55" s="23"/>
      <c r="E55" s="24" t="s">
        <v>8</v>
      </c>
      <c r="F55" s="23"/>
      <c r="G55" s="25" t="s">
        <v>34</v>
      </c>
      <c r="H55" s="23"/>
      <c r="I55" s="26" t="s">
        <v>9</v>
      </c>
      <c r="J55" s="23"/>
      <c r="K55" s="26" t="s">
        <v>10</v>
      </c>
      <c r="L55" s="23"/>
      <c r="M55" s="24" t="s">
        <v>43</v>
      </c>
      <c r="N55" s="23"/>
      <c r="O55" s="26" t="s">
        <v>11</v>
      </c>
      <c r="P55" s="23"/>
      <c r="Q55" s="24" t="s">
        <v>8</v>
      </c>
      <c r="R55" s="23"/>
      <c r="S55" s="27" t="s">
        <v>44</v>
      </c>
      <c r="T55" s="23"/>
      <c r="U55" s="44" t="s">
        <v>12</v>
      </c>
      <c r="V55" s="23"/>
      <c r="W55" s="11"/>
      <c r="X55" s="11"/>
      <c r="Y55" s="11"/>
      <c r="Z55" s="5"/>
    </row>
    <row r="56" spans="1:26" s="1" customFormat="1" ht="11.25" customHeight="1">
      <c r="A56" s="36"/>
      <c r="B56" s="36"/>
      <c r="C56" s="54" t="s">
        <v>70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5"/>
      <c r="W56" s="10"/>
      <c r="X56" s="10"/>
      <c r="Y56" s="10"/>
    </row>
    <row r="57" spans="1:26" s="1" customFormat="1" ht="10.15" customHeight="1">
      <c r="A57" s="28" t="s">
        <v>13</v>
      </c>
      <c r="B57" s="10"/>
      <c r="C57" s="29">
        <f>C6/0.13952</f>
        <v>3985.0917431192661</v>
      </c>
      <c r="D57" s="29"/>
      <c r="E57" s="29">
        <f>E6/0.13952</f>
        <v>7045.5848623853208</v>
      </c>
      <c r="F57" s="29"/>
      <c r="G57" s="29">
        <f>G6/0.13952</f>
        <v>39693.233944954125</v>
      </c>
      <c r="H57" s="29"/>
      <c r="I57" s="29">
        <f t="shared" ref="I57:L76" si="0">I6/0.245071</f>
        <v>11278.364229141758</v>
      </c>
      <c r="J57" s="29">
        <f t="shared" si="0"/>
        <v>0</v>
      </c>
      <c r="K57" s="29">
        <f t="shared" si="0"/>
        <v>15770.93985008426</v>
      </c>
      <c r="L57" s="29">
        <f t="shared" si="0"/>
        <v>0</v>
      </c>
      <c r="M57" s="29">
        <f>M6/0.13952</f>
        <v>23595.183486238529</v>
      </c>
      <c r="N57" s="29"/>
      <c r="O57" s="29">
        <f>O6/0.13952</f>
        <v>580.5619266055046</v>
      </c>
      <c r="P57" s="29"/>
      <c r="Q57" s="29">
        <f>Q6/0.13952</f>
        <v>358.37155963302752</v>
      </c>
      <c r="R57" s="29"/>
      <c r="S57" s="29">
        <f>S6/0.13952</f>
        <v>1462.1559633027523</v>
      </c>
      <c r="T57" s="29"/>
      <c r="U57" s="29">
        <f>U6/0.13952</f>
        <v>415.71100917431193</v>
      </c>
      <c r="V57" s="10"/>
      <c r="W57" s="10"/>
      <c r="X57" s="10"/>
      <c r="Y57" s="10"/>
    </row>
    <row r="58" spans="1:26" s="1" customFormat="1" ht="10.15" customHeight="1">
      <c r="A58" s="42">
        <v>1976</v>
      </c>
      <c r="B58" s="10"/>
      <c r="C58" s="37">
        <f>C7/0.15752</f>
        <v>3923.3113255459625</v>
      </c>
      <c r="D58" s="37"/>
      <c r="E58" s="37">
        <f>E7/0.15752</f>
        <v>6983.2402234636875</v>
      </c>
      <c r="F58" s="37"/>
      <c r="G58" s="37">
        <f>G7/0.15752</f>
        <v>45295.835449466736</v>
      </c>
      <c r="H58" s="37"/>
      <c r="I58" s="37">
        <f t="shared" si="0"/>
        <v>12441.292523391179</v>
      </c>
      <c r="J58" s="37">
        <f t="shared" si="0"/>
        <v>0</v>
      </c>
      <c r="K58" s="37">
        <f t="shared" si="0"/>
        <v>15856.629303344744</v>
      </c>
      <c r="L58" s="37">
        <f t="shared" si="0"/>
        <v>0</v>
      </c>
      <c r="M58" s="37">
        <f>M7/0.15752</f>
        <v>21851.193499238194</v>
      </c>
      <c r="N58" s="37"/>
      <c r="O58" s="37">
        <f>O7/0.15752</f>
        <v>558.65921787709499</v>
      </c>
      <c r="P58" s="37"/>
      <c r="Q58" s="37">
        <f>Q7/0.15752</f>
        <v>412.64601320467244</v>
      </c>
      <c r="R58" s="37"/>
      <c r="S58" s="37">
        <f>S7/0.15752</f>
        <v>2666.3280853224987</v>
      </c>
      <c r="T58" s="37"/>
      <c r="U58" s="37">
        <f>U7/0.15752</f>
        <v>399.94921279837484</v>
      </c>
      <c r="V58" s="10"/>
      <c r="W58" s="10"/>
      <c r="X58" s="10"/>
      <c r="Y58" s="10"/>
    </row>
    <row r="59" spans="1:26" s="1" customFormat="1" ht="10.15" customHeight="1">
      <c r="A59" s="28" t="s">
        <v>15</v>
      </c>
      <c r="B59" s="10"/>
      <c r="C59" s="37">
        <f>C8/0.17094</f>
        <v>4159.3541593541595</v>
      </c>
      <c r="D59" s="37"/>
      <c r="E59" s="37">
        <f>E8/0.17094</f>
        <v>7084.3570843570842</v>
      </c>
      <c r="F59" s="37"/>
      <c r="G59" s="37">
        <f>G8/0.17094</f>
        <v>49900.5499005499</v>
      </c>
      <c r="H59" s="37"/>
      <c r="I59" s="37">
        <f t="shared" si="0"/>
        <v>14277.495093258687</v>
      </c>
      <c r="J59" s="37">
        <f t="shared" si="0"/>
        <v>0</v>
      </c>
      <c r="K59" s="37">
        <f t="shared" si="0"/>
        <v>17133.810201941476</v>
      </c>
      <c r="L59" s="37">
        <f t="shared" si="0"/>
        <v>0</v>
      </c>
      <c r="M59" s="37">
        <f>M8/0.17094</f>
        <v>22341.17234117234</v>
      </c>
      <c r="N59" s="37"/>
      <c r="O59" s="37">
        <f>O8/0.17094</f>
        <v>549.90054990054989</v>
      </c>
      <c r="P59" s="37"/>
      <c r="Q59" s="37">
        <f>Q8/0.17094</f>
        <v>596.70059670059663</v>
      </c>
      <c r="R59" s="37"/>
      <c r="S59" s="37">
        <f>S8/0.17094</f>
        <v>2837.2528372528373</v>
      </c>
      <c r="T59" s="37"/>
      <c r="U59" s="37">
        <f>U8/0.17094</f>
        <v>386.10038610038606</v>
      </c>
      <c r="V59" s="10"/>
      <c r="W59" s="10"/>
      <c r="X59" s="10"/>
      <c r="Y59" s="10"/>
    </row>
    <row r="60" spans="1:26" s="1" customFormat="1" ht="10.15" customHeight="1">
      <c r="A60" s="28" t="s">
        <v>16</v>
      </c>
      <c r="B60" s="10"/>
      <c r="C60" s="37">
        <f>C9/0.18469</f>
        <v>4434.4577399967511</v>
      </c>
      <c r="D60" s="37"/>
      <c r="E60" s="37">
        <f>E9/0.18469</f>
        <v>7147.1113758189404</v>
      </c>
      <c r="F60" s="37"/>
      <c r="G60" s="37">
        <f>G9/0.18469</f>
        <v>62190.697926254805</v>
      </c>
      <c r="H60" s="37"/>
      <c r="I60" s="37">
        <f t="shared" si="0"/>
        <v>17113.407951165173</v>
      </c>
      <c r="J60" s="37">
        <f t="shared" si="0"/>
        <v>0</v>
      </c>
      <c r="K60" s="37">
        <f t="shared" si="0"/>
        <v>19965.642609692699</v>
      </c>
      <c r="L60" s="37">
        <f t="shared" si="0"/>
        <v>0</v>
      </c>
      <c r="M60" s="37">
        <f>M9/0.18469</f>
        <v>24457.198548919812</v>
      </c>
      <c r="N60" s="37"/>
      <c r="O60" s="37">
        <f>O9/0.18469</f>
        <v>536.03335318642053</v>
      </c>
      <c r="P60" s="37"/>
      <c r="Q60" s="37">
        <f>Q9/0.18469</f>
        <v>525.20439655639177</v>
      </c>
      <c r="R60" s="37"/>
      <c r="S60" s="37">
        <f>S9/0.18469</f>
        <v>3021.2788997780067</v>
      </c>
      <c r="T60" s="37"/>
      <c r="U60" s="37">
        <f>U9/0.18469</f>
        <v>384.42796036601874</v>
      </c>
      <c r="V60" s="10"/>
      <c r="W60" s="10"/>
      <c r="X60" s="10"/>
      <c r="Y60" s="10"/>
    </row>
    <row r="61" spans="1:26" s="1" customFormat="1" ht="10.15" customHeight="1">
      <c r="A61" s="28" t="s">
        <v>17</v>
      </c>
      <c r="B61" s="10"/>
      <c r="C61" s="37">
        <f>C10/0.20256</f>
        <v>4694.9052132701427</v>
      </c>
      <c r="D61" s="37"/>
      <c r="E61" s="37">
        <f>E10/0.20256</f>
        <v>7740.9162717219597</v>
      </c>
      <c r="F61" s="37"/>
      <c r="G61" s="37">
        <f>G10/0.20256</f>
        <v>64287.124802527651</v>
      </c>
      <c r="H61" s="37"/>
      <c r="I61" s="37">
        <f t="shared" si="0"/>
        <v>20100.297464816318</v>
      </c>
      <c r="J61" s="37">
        <f t="shared" si="0"/>
        <v>0</v>
      </c>
      <c r="K61" s="37">
        <f t="shared" si="0"/>
        <v>22622.015660767694</v>
      </c>
      <c r="L61" s="37">
        <f t="shared" si="0"/>
        <v>0</v>
      </c>
      <c r="M61" s="37">
        <f>M10/0.20256</f>
        <v>25661.532385466035</v>
      </c>
      <c r="N61" s="37"/>
      <c r="O61" s="37">
        <f>O10/0.20256</f>
        <v>533.17535545023702</v>
      </c>
      <c r="P61" s="37"/>
      <c r="Q61" s="37">
        <f>Q10/0.20256</f>
        <v>543.04897314375989</v>
      </c>
      <c r="R61" s="37"/>
      <c r="S61" s="37">
        <f>S10/0.20256</f>
        <v>3623.6176935229068</v>
      </c>
      <c r="T61" s="37"/>
      <c r="U61" s="37">
        <f>U10/0.20256</f>
        <v>414.69194312796213</v>
      </c>
      <c r="V61" s="10"/>
      <c r="W61" s="10"/>
      <c r="X61" s="10"/>
      <c r="Y61" s="10"/>
    </row>
    <row r="62" spans="1:26" s="1" customFormat="1" ht="10.15" customHeight="1">
      <c r="A62" s="28" t="s">
        <v>18</v>
      </c>
      <c r="B62" s="10"/>
      <c r="C62" s="37">
        <f>C11/0.22548</f>
        <v>4785.3468156821</v>
      </c>
      <c r="D62" s="37"/>
      <c r="E62" s="37">
        <f>E11/0.22548</f>
        <v>7725.7406421855594</v>
      </c>
      <c r="F62" s="37"/>
      <c r="G62" s="37">
        <f>G11/0.22548</f>
        <v>72906.687954585766</v>
      </c>
      <c r="H62" s="37"/>
      <c r="I62" s="37">
        <f t="shared" si="0"/>
        <v>21716.155726299723</v>
      </c>
      <c r="J62" s="37">
        <f t="shared" si="0"/>
        <v>0</v>
      </c>
      <c r="K62" s="37">
        <f t="shared" si="0"/>
        <v>24805.056493832399</v>
      </c>
      <c r="L62" s="37">
        <f t="shared" si="0"/>
        <v>0</v>
      </c>
      <c r="M62" s="37">
        <f>M11/0.22548</f>
        <v>25075.394713500089</v>
      </c>
      <c r="N62" s="37"/>
      <c r="O62" s="37">
        <f>O11/0.22548</f>
        <v>603.15770800070959</v>
      </c>
      <c r="P62" s="37"/>
      <c r="Q62" s="37">
        <f>Q11/0.22548</f>
        <v>501.15309561823665</v>
      </c>
      <c r="R62" s="37"/>
      <c r="S62" s="37">
        <f>S11/0.22548</f>
        <v>3751.9957424161785</v>
      </c>
      <c r="T62" s="37"/>
      <c r="U62" s="37">
        <f>U11/0.22548</f>
        <v>425.75838211814795</v>
      </c>
      <c r="V62" s="10"/>
      <c r="W62" s="10"/>
      <c r="X62" s="10"/>
      <c r="Y62" s="10"/>
    </row>
    <row r="63" spans="1:26" s="1" customFormat="1" ht="10.15" customHeight="1">
      <c r="A63" s="28" t="s">
        <v>19</v>
      </c>
      <c r="B63" s="10"/>
      <c r="C63" s="37">
        <f>C12/0.25329</f>
        <v>4887.6781554739628</v>
      </c>
      <c r="D63" s="37"/>
      <c r="E63" s="37">
        <f>E12/0.25329</f>
        <v>7671.0489952228663</v>
      </c>
      <c r="F63" s="37"/>
      <c r="G63" s="37">
        <f>G12/0.25329</f>
        <v>78218.642662560698</v>
      </c>
      <c r="H63" s="37"/>
      <c r="I63" s="37">
        <f t="shared" si="0"/>
        <v>24127.701768059051</v>
      </c>
      <c r="J63" s="37">
        <f t="shared" si="0"/>
        <v>0</v>
      </c>
      <c r="K63" s="37">
        <f t="shared" si="0"/>
        <v>26988.097326897103</v>
      </c>
      <c r="L63" s="37">
        <f t="shared" si="0"/>
        <v>0</v>
      </c>
      <c r="M63" s="37">
        <f>M12/0.25329</f>
        <v>24580.520352165502</v>
      </c>
      <c r="N63" s="37"/>
      <c r="O63" s="37">
        <f>O12/0.25329</f>
        <v>576.41438667140426</v>
      </c>
      <c r="P63" s="37"/>
      <c r="Q63" s="37">
        <f>Q12/0.25329</f>
        <v>556.67416794978089</v>
      </c>
      <c r="R63" s="37"/>
      <c r="S63" s="37">
        <f>S12/0.25329</f>
        <v>4204.6665877057912</v>
      </c>
      <c r="T63" s="37"/>
      <c r="U63" s="37">
        <f>U12/0.25329</f>
        <v>426.38872438706619</v>
      </c>
      <c r="V63" s="10"/>
      <c r="W63" s="10"/>
      <c r="X63" s="10"/>
      <c r="Y63" s="10"/>
    </row>
    <row r="64" spans="1:26" s="1" customFormat="1" ht="10.15" customHeight="1">
      <c r="A64" s="28" t="s">
        <v>20</v>
      </c>
      <c r="B64" s="10"/>
      <c r="C64" s="37">
        <f>C13/0.28334</f>
        <v>4803.4163902025839</v>
      </c>
      <c r="D64" s="37"/>
      <c r="E64" s="37">
        <f>E13/0.28334</f>
        <v>7665.7019834827424</v>
      </c>
      <c r="F64" s="37"/>
      <c r="G64" s="37">
        <f>G13/0.28334</f>
        <v>82275.711159737417</v>
      </c>
      <c r="H64" s="37"/>
      <c r="I64" s="37">
        <f t="shared" si="0"/>
        <v>26567.810960905204</v>
      </c>
      <c r="J64" s="37">
        <f t="shared" si="0"/>
        <v>0</v>
      </c>
      <c r="K64" s="37">
        <f t="shared" si="0"/>
        <v>32300.84342904709</v>
      </c>
      <c r="L64" s="37">
        <f t="shared" si="0"/>
        <v>0</v>
      </c>
      <c r="M64" s="37">
        <f>M13/0.28334</f>
        <v>25072.351238794385</v>
      </c>
      <c r="N64" s="37"/>
      <c r="O64" s="37">
        <f>O13/0.28334</f>
        <v>529.39930825157057</v>
      </c>
      <c r="P64" s="37"/>
      <c r="Q64" s="37">
        <f>Q13/0.28334</f>
        <v>515.28199336486205</v>
      </c>
      <c r="R64" s="37"/>
      <c r="S64" s="37">
        <f>S13/0.28334</f>
        <v>4634.0086115620816</v>
      </c>
      <c r="T64" s="37"/>
      <c r="U64" s="37">
        <f>U13/0.28334</f>
        <v>416.46078915790218</v>
      </c>
      <c r="V64" s="10"/>
      <c r="W64" s="10"/>
      <c r="X64" s="10"/>
      <c r="Y64" s="10"/>
    </row>
    <row r="65" spans="1:26" s="1" customFormat="1" ht="10.15" customHeight="1">
      <c r="A65" s="28" t="s">
        <v>21</v>
      </c>
      <c r="B65" s="10"/>
      <c r="C65" s="37">
        <f>C14/0.31031</f>
        <v>4843.5435532209731</v>
      </c>
      <c r="D65" s="37"/>
      <c r="E65" s="37">
        <f>E14/0.31031</f>
        <v>7682.6399407044573</v>
      </c>
      <c r="F65" s="37"/>
      <c r="G65" s="37">
        <f>G14/0.31031</f>
        <v>87029.099932325742</v>
      </c>
      <c r="H65" s="37"/>
      <c r="I65" s="37">
        <f t="shared" si="0"/>
        <v>27677.693403136233</v>
      </c>
      <c r="J65" s="37">
        <f t="shared" si="0"/>
        <v>0</v>
      </c>
      <c r="K65" s="37">
        <f t="shared" si="0"/>
        <v>32876.186900938912</v>
      </c>
      <c r="L65" s="37">
        <f t="shared" si="0"/>
        <v>0</v>
      </c>
      <c r="M65" s="37">
        <f>M14/0.31031</f>
        <v>23579.646160291322</v>
      </c>
      <c r="N65" s="37"/>
      <c r="O65" s="37">
        <f>O14/0.31031</f>
        <v>499.50049950049953</v>
      </c>
      <c r="P65" s="37"/>
      <c r="Q65" s="37">
        <f>Q14/0.31031</f>
        <v>502.72308336824472</v>
      </c>
      <c r="R65" s="37"/>
      <c r="S65" s="37">
        <f>S14/0.31031</f>
        <v>4563.178756727144</v>
      </c>
      <c r="T65" s="37"/>
      <c r="U65" s="37">
        <f>U14/0.31031</f>
        <v>415.71331893912543</v>
      </c>
      <c r="V65" s="10"/>
      <c r="W65" s="10"/>
      <c r="X65" s="10"/>
      <c r="Y65" s="10"/>
    </row>
    <row r="66" spans="1:26" s="1" customFormat="1" ht="10.15" customHeight="1">
      <c r="A66" s="28" t="s">
        <v>22</v>
      </c>
      <c r="B66" s="10"/>
      <c r="C66" s="37">
        <f>C15/0.33498</f>
        <v>4683.8617230879454</v>
      </c>
      <c r="D66" s="37"/>
      <c r="E66" s="37">
        <f>E15/0.33498</f>
        <v>7618.3652755388384</v>
      </c>
      <c r="F66" s="37"/>
      <c r="G66" s="37">
        <f>G15/0.33498</f>
        <v>90065.078512149979</v>
      </c>
      <c r="H66" s="37"/>
      <c r="I66" s="37">
        <f t="shared" si="0"/>
        <v>29844.412435579892</v>
      </c>
      <c r="J66" s="37">
        <f t="shared" si="0"/>
        <v>0</v>
      </c>
      <c r="K66" s="37">
        <f t="shared" si="0"/>
        <v>35087.790885090442</v>
      </c>
      <c r="L66" s="37">
        <f t="shared" si="0"/>
        <v>0</v>
      </c>
      <c r="M66" s="37">
        <f>M15/0.33498</f>
        <v>23425.279121141561</v>
      </c>
      <c r="N66" s="37"/>
      <c r="O66" s="37">
        <f>O15/0.33498</f>
        <v>465.69944474296972</v>
      </c>
      <c r="P66" s="37"/>
      <c r="Q66" s="37">
        <f>Q15/0.33498</f>
        <v>489.58146755030151</v>
      </c>
      <c r="R66" s="37"/>
      <c r="S66" s="37">
        <f>S15/0.33498</f>
        <v>5277.9270404203235</v>
      </c>
      <c r="T66" s="37"/>
      <c r="U66" s="37">
        <f>U15/0.33498</f>
        <v>420.92065197922261</v>
      </c>
      <c r="V66" s="10"/>
      <c r="W66" s="10"/>
      <c r="X66" s="10"/>
      <c r="Y66" s="10"/>
    </row>
    <row r="67" spans="1:26" s="1" customFormat="1" ht="10.15" customHeight="1">
      <c r="A67" s="28" t="s">
        <v>23</v>
      </c>
      <c r="B67" s="10"/>
      <c r="C67" s="37">
        <f>C16/0.35613</f>
        <v>4826.8890573666922</v>
      </c>
      <c r="D67" s="37"/>
      <c r="E67" s="37">
        <f>E16/0.35613</f>
        <v>7730.3231965855166</v>
      </c>
      <c r="F67" s="37"/>
      <c r="G67" s="37">
        <f>G16/0.35613</f>
        <v>90523.123578468541</v>
      </c>
      <c r="H67" s="37"/>
      <c r="I67" s="37">
        <f t="shared" si="0"/>
        <v>32104.981821594556</v>
      </c>
      <c r="J67" s="37">
        <f t="shared" si="0"/>
        <v>0</v>
      </c>
      <c r="K67" s="37">
        <f t="shared" si="0"/>
        <v>37858.41654051275</v>
      </c>
      <c r="L67" s="37">
        <f t="shared" si="0"/>
        <v>0</v>
      </c>
      <c r="M67" s="37">
        <f>M16/0.35613</f>
        <v>23662.707438295005</v>
      </c>
      <c r="N67" s="37"/>
      <c r="O67" s="37">
        <f>O16/0.35613</f>
        <v>457.69803161766771</v>
      </c>
      <c r="P67" s="37"/>
      <c r="Q67" s="37">
        <f>Q16/0.35613</f>
        <v>499.81748238002979</v>
      </c>
      <c r="R67" s="37"/>
      <c r="S67" s="37">
        <f>S16/0.35613</f>
        <v>5874.2593996574287</v>
      </c>
      <c r="T67" s="37"/>
      <c r="U67" s="37">
        <f>U16/0.35613</f>
        <v>466.12192177014009</v>
      </c>
      <c r="V67" s="10"/>
      <c r="W67" s="10"/>
      <c r="X67" s="10"/>
      <c r="Y67" s="10"/>
    </row>
    <row r="68" spans="1:26" s="1" customFormat="1" ht="10.15" customHeight="1">
      <c r="A68" s="28" t="s">
        <v>24</v>
      </c>
      <c r="B68" s="10"/>
      <c r="C68" s="37">
        <f>C17/0.37677</f>
        <v>4833.1873556811852</v>
      </c>
      <c r="D68" s="37"/>
      <c r="E68" s="37">
        <f>E17/0.37677</f>
        <v>7760.7028160416166</v>
      </c>
      <c r="F68" s="37"/>
      <c r="G68" s="37">
        <f>G17/0.37677</f>
        <v>93131.087931629372</v>
      </c>
      <c r="H68" s="37"/>
      <c r="I68" s="37">
        <f t="shared" si="0"/>
        <v>33386.243170346548</v>
      </c>
      <c r="J68" s="37">
        <f t="shared" si="0"/>
        <v>0</v>
      </c>
      <c r="K68" s="37">
        <f t="shared" si="0"/>
        <v>40437.261038637778</v>
      </c>
      <c r="L68" s="37">
        <f t="shared" si="0"/>
        <v>0</v>
      </c>
      <c r="M68" s="37">
        <f>M17/0.37677</f>
        <v>23587.334448071768</v>
      </c>
      <c r="N68" s="37"/>
      <c r="O68" s="37">
        <f>O17/0.37677</f>
        <v>453.85779122541607</v>
      </c>
      <c r="P68" s="37"/>
      <c r="Q68" s="37">
        <f>Q17/0.37677</f>
        <v>491.01573904504073</v>
      </c>
      <c r="R68" s="37"/>
      <c r="S68" s="37">
        <f>S17/0.37677</f>
        <v>6046.128938078934</v>
      </c>
      <c r="T68" s="37"/>
      <c r="U68" s="37">
        <f>U17/0.37677</f>
        <v>485.70746078509438</v>
      </c>
      <c r="V68" s="10"/>
      <c r="W68" s="10"/>
      <c r="X68" s="10"/>
      <c r="Y68" s="10"/>
    </row>
    <row r="69" spans="1:26" s="1" customFormat="1" ht="10.15" customHeight="1">
      <c r="A69" s="28" t="s">
        <v>25</v>
      </c>
      <c r="B69" s="10"/>
      <c r="C69" s="37">
        <f>C18/0.40083</f>
        <v>4862.4104982162007</v>
      </c>
      <c r="D69" s="37"/>
      <c r="E69" s="37">
        <f>E18/0.40083</f>
        <v>7484.4697253199611</v>
      </c>
      <c r="F69" s="37"/>
      <c r="G69" s="37">
        <f>G18/0.40083</f>
        <v>93530.923334081774</v>
      </c>
      <c r="H69" s="37"/>
      <c r="I69" s="37">
        <f t="shared" si="0"/>
        <v>34973.538280743131</v>
      </c>
      <c r="J69" s="37">
        <f t="shared" si="0"/>
        <v>0</v>
      </c>
      <c r="K69" s="37">
        <f t="shared" si="0"/>
        <v>42567.256019684093</v>
      </c>
      <c r="L69" s="37">
        <f t="shared" si="0"/>
        <v>0</v>
      </c>
      <c r="M69" s="37">
        <f>M18/0.40083</f>
        <v>23256.74225981089</v>
      </c>
      <c r="N69" s="37"/>
      <c r="O69" s="37">
        <f>O18/0.40083</f>
        <v>451.56300676097095</v>
      </c>
      <c r="P69" s="37"/>
      <c r="Q69" s="37">
        <f>Q18/0.40083</f>
        <v>506.44911807998403</v>
      </c>
      <c r="R69" s="37"/>
      <c r="S69" s="37">
        <f>S18/0.40083</f>
        <v>6928.1241424045102</v>
      </c>
      <c r="T69" s="37"/>
      <c r="U69" s="37">
        <f>U18/0.40083</f>
        <v>493.9750018711174</v>
      </c>
      <c r="V69" s="10"/>
      <c r="W69" s="10"/>
      <c r="X69" s="10"/>
      <c r="Y69" s="10"/>
    </row>
    <row r="70" spans="1:26" s="1" customFormat="1" ht="10.15" customHeight="1">
      <c r="A70" s="28" t="s">
        <v>26</v>
      </c>
      <c r="B70" s="10"/>
      <c r="C70" s="37">
        <f>C19/0.43007</f>
        <v>4943.3813100192992</v>
      </c>
      <c r="D70" s="37"/>
      <c r="E70" s="37">
        <f>E19/0.43007</f>
        <v>7326.7142558188198</v>
      </c>
      <c r="F70" s="37"/>
      <c r="G70" s="37">
        <f>G19/0.43007</f>
        <v>96293.626618922499</v>
      </c>
      <c r="H70" s="37"/>
      <c r="I70" s="37">
        <f t="shared" si="0"/>
        <v>37348.360271105106</v>
      </c>
      <c r="J70" s="37">
        <f t="shared" si="0"/>
        <v>0</v>
      </c>
      <c r="K70" s="37">
        <f t="shared" si="0"/>
        <v>44766.618653369835</v>
      </c>
      <c r="L70" s="37">
        <f t="shared" si="0"/>
        <v>0</v>
      </c>
      <c r="M70" s="37">
        <f>M19/0.43007</f>
        <v>22973.00439463343</v>
      </c>
      <c r="N70" s="37"/>
      <c r="O70" s="37">
        <f>O19/0.43007</f>
        <v>448.76415467249518</v>
      </c>
      <c r="P70" s="37"/>
      <c r="Q70" s="37">
        <f>Q19/0.43007</f>
        <v>532.4714581347223</v>
      </c>
      <c r="R70" s="37"/>
      <c r="S70" s="37">
        <f>S19/0.43007</f>
        <v>8235.8685795335641</v>
      </c>
      <c r="T70" s="37"/>
      <c r="U70" s="37">
        <f>U19/0.43007</f>
        <v>499.91861789941174</v>
      </c>
      <c r="V70" s="10"/>
      <c r="W70" s="10"/>
      <c r="X70" s="10"/>
      <c r="Y70" s="10"/>
    </row>
    <row r="71" spans="1:26" s="1" customFormat="1" ht="10.15" customHeight="1">
      <c r="A71" s="28" t="s">
        <v>27</v>
      </c>
      <c r="B71" s="10"/>
      <c r="C71" s="37">
        <f>C20/0.46748</f>
        <v>4958.5008984341575</v>
      </c>
      <c r="D71" s="37"/>
      <c r="E71" s="37">
        <f>E20/0.46748</f>
        <v>6954.3082056986395</v>
      </c>
      <c r="F71" s="37"/>
      <c r="G71" s="37">
        <f>G20/0.46748</f>
        <v>96258.663472234111</v>
      </c>
      <c r="H71" s="37"/>
      <c r="I71" s="37">
        <f t="shared" si="0"/>
        <v>40780.018851679713</v>
      </c>
      <c r="J71" s="37">
        <f t="shared" si="0"/>
        <v>0</v>
      </c>
      <c r="K71" s="37">
        <f t="shared" si="0"/>
        <v>48186.03588347866</v>
      </c>
      <c r="L71" s="37">
        <f t="shared" si="0"/>
        <v>0</v>
      </c>
      <c r="M71" s="37">
        <f>M20/0.46748</f>
        <v>22880.12321382733</v>
      </c>
      <c r="N71" s="37"/>
      <c r="O71" s="37">
        <f>O20/0.46748</f>
        <v>464.19098143236073</v>
      </c>
      <c r="P71" s="37"/>
      <c r="Q71" s="37">
        <f>Q20/0.46748</f>
        <v>534.78223667322663</v>
      </c>
      <c r="R71" s="37"/>
      <c r="S71" s="37">
        <f>S20/0.46748</f>
        <v>9037.8197997775296</v>
      </c>
      <c r="T71" s="37"/>
      <c r="U71" s="37">
        <f>U20/0.46748</f>
        <v>496.27791563275434</v>
      </c>
      <c r="V71" s="10"/>
      <c r="W71" s="10"/>
      <c r="X71" s="10"/>
      <c r="Y71" s="10"/>
    </row>
    <row r="72" spans="1:26" s="1" customFormat="1" ht="10.15" customHeight="1">
      <c r="A72" s="28" t="s">
        <v>28</v>
      </c>
      <c r="B72" s="10"/>
      <c r="C72" s="37">
        <f>C21/0.50773</f>
        <v>5058.1214424989657</v>
      </c>
      <c r="D72" s="37"/>
      <c r="E72" s="37">
        <f>E21/0.50773</f>
        <v>7149.9222027455535</v>
      </c>
      <c r="F72" s="37"/>
      <c r="G72" s="37">
        <f>G21/0.50773</f>
        <v>98571.996927500833</v>
      </c>
      <c r="H72" s="37"/>
      <c r="I72" s="37">
        <f t="shared" si="0"/>
        <v>45847.733922006279</v>
      </c>
      <c r="J72" s="37">
        <f t="shared" si="0"/>
        <v>0</v>
      </c>
      <c r="K72" s="37">
        <f t="shared" si="0"/>
        <v>54499.920431221974</v>
      </c>
      <c r="L72" s="37">
        <f t="shared" si="0"/>
        <v>0</v>
      </c>
      <c r="M72" s="37">
        <f>M21/0.50773</f>
        <v>23847.320426210779</v>
      </c>
      <c r="N72" s="37"/>
      <c r="O72" s="37">
        <f>O21/0.50773</f>
        <v>463.3958993953479</v>
      </c>
      <c r="P72" s="37"/>
      <c r="Q72" s="37">
        <f>Q21/0.50773</f>
        <v>529.29706733894</v>
      </c>
      <c r="R72" s="37"/>
      <c r="S72" s="37">
        <f>S21/0.50773</f>
        <v>9321.9033738404269</v>
      </c>
      <c r="T72" s="37"/>
      <c r="U72" s="37">
        <f>U21/0.50773</f>
        <v>503.3974750359443</v>
      </c>
      <c r="V72" s="10"/>
      <c r="W72" s="10"/>
      <c r="X72" s="10"/>
      <c r="Y72" s="10"/>
    </row>
    <row r="73" spans="1:26" s="1" customFormat="1" ht="10.15" customHeight="1">
      <c r="A73" s="28" t="s">
        <v>29</v>
      </c>
      <c r="B73" s="10"/>
      <c r="C73" s="37">
        <f>C22/0.54886</f>
        <v>5014.0472980359291</v>
      </c>
      <c r="D73" s="37"/>
      <c r="E73" s="37">
        <f>E22/0.54886</f>
        <v>7213.0597966694604</v>
      </c>
      <c r="F73" s="37"/>
      <c r="G73" s="37">
        <f>G22/0.54886</f>
        <v>96183.197901104111</v>
      </c>
      <c r="H73" s="37"/>
      <c r="I73" s="37">
        <f t="shared" si="0"/>
        <v>49871.955474127906</v>
      </c>
      <c r="J73" s="37">
        <f t="shared" si="0"/>
        <v>0</v>
      </c>
      <c r="K73" s="37">
        <f t="shared" si="0"/>
        <v>57685.527867434328</v>
      </c>
      <c r="L73" s="37">
        <f t="shared" si="0"/>
        <v>0</v>
      </c>
      <c r="M73" s="37">
        <f>M22/0.54886</f>
        <v>25312.465838282988</v>
      </c>
      <c r="N73" s="37"/>
      <c r="O73" s="37">
        <f>O22/0.54886</f>
        <v>471.35881645592679</v>
      </c>
      <c r="P73" s="37"/>
      <c r="Q73" s="37">
        <f>Q22/0.54886</f>
        <v>555.77014174835119</v>
      </c>
      <c r="R73" s="37"/>
      <c r="S73" s="37">
        <f>S22/0.54886</f>
        <v>9237.1643041941479</v>
      </c>
      <c r="T73" s="37"/>
      <c r="U73" s="37">
        <f>U22/0.54886</f>
        <v>504.68243267864301</v>
      </c>
      <c r="V73" s="10"/>
      <c r="W73" s="10"/>
      <c r="X73" s="10"/>
      <c r="Y73" s="10"/>
    </row>
    <row r="74" spans="1:26" s="1" customFormat="1" ht="10.15" customHeight="1">
      <c r="A74" s="19" t="s">
        <v>30</v>
      </c>
      <c r="B74" s="11"/>
      <c r="C74" s="32">
        <f>C23/0.58783</f>
        <v>4996.3424799686991</v>
      </c>
      <c r="D74" s="32"/>
      <c r="E74" s="32">
        <f>E23/0.58783</f>
        <v>6959.49509211847</v>
      </c>
      <c r="F74" s="32"/>
      <c r="G74" s="32">
        <f>G23/0.58783</f>
        <v>96347.583485021183</v>
      </c>
      <c r="H74" s="32"/>
      <c r="I74" s="32">
        <f t="shared" si="0"/>
        <v>46431.442316716377</v>
      </c>
      <c r="J74" s="32">
        <f t="shared" si="0"/>
        <v>0</v>
      </c>
      <c r="K74" s="32">
        <f t="shared" si="0"/>
        <v>62696.116635587234</v>
      </c>
      <c r="L74" s="32">
        <f t="shared" si="0"/>
        <v>0</v>
      </c>
      <c r="M74" s="32">
        <f>M23/0.58783</f>
        <v>25464.845278396817</v>
      </c>
      <c r="N74" s="32"/>
      <c r="O74" s="32">
        <f>O23/0.58783</f>
        <v>479.73053433815903</v>
      </c>
      <c r="P74" s="32"/>
      <c r="Q74" s="32">
        <f>Q23/0.58783</f>
        <v>593.70906554616136</v>
      </c>
      <c r="R74" s="32"/>
      <c r="S74" s="32">
        <f>S23/0.58783</f>
        <v>8980.4875559260345</v>
      </c>
      <c r="T74" s="32"/>
      <c r="U74" s="32">
        <f>U23/0.58783</f>
        <v>523.96100913529426</v>
      </c>
      <c r="V74" s="10"/>
      <c r="W74" s="10"/>
      <c r="X74" s="10"/>
      <c r="Y74" s="10"/>
    </row>
    <row r="75" spans="1:26" s="1" customFormat="1" ht="10.15" customHeight="1">
      <c r="A75" s="19" t="s">
        <v>31</v>
      </c>
      <c r="B75" s="11"/>
      <c r="C75" s="32">
        <f>C24/0.62276</f>
        <v>4884.7067891322504</v>
      </c>
      <c r="D75" s="32"/>
      <c r="E75" s="32">
        <f>E24/0.62276</f>
        <v>7010.7264435737688</v>
      </c>
      <c r="F75" s="32"/>
      <c r="G75" s="32">
        <f>G24/0.62276</f>
        <v>94990.044318838714</v>
      </c>
      <c r="H75" s="32"/>
      <c r="I75" s="32">
        <f t="shared" si="0"/>
        <v>0</v>
      </c>
      <c r="J75" s="32">
        <f t="shared" si="0"/>
        <v>0</v>
      </c>
      <c r="K75" s="32">
        <f t="shared" si="0"/>
        <v>0</v>
      </c>
      <c r="L75" s="32">
        <f t="shared" si="0"/>
        <v>0</v>
      </c>
      <c r="M75" s="32">
        <f>M24/0.62276</f>
        <v>25367.717900957032</v>
      </c>
      <c r="N75" s="32"/>
      <c r="O75" s="32">
        <f>O24/0.62276</f>
        <v>470.48622262187683</v>
      </c>
      <c r="P75" s="32"/>
      <c r="Q75" s="32">
        <f>Q24/0.62276</f>
        <v>606.97539983300146</v>
      </c>
      <c r="R75" s="32"/>
      <c r="S75" s="32">
        <f>S24/0.62276</f>
        <v>8430.2138865694651</v>
      </c>
      <c r="T75" s="32"/>
      <c r="U75" s="32">
        <f>U24/0.62276</f>
        <v>534.7164236624061</v>
      </c>
      <c r="V75" s="10"/>
      <c r="W75" s="10"/>
      <c r="X75" s="10"/>
      <c r="Y75" s="10"/>
      <c r="Z75" s="38"/>
    </row>
    <row r="76" spans="1:26" s="1" customFormat="1" ht="10.15" customHeight="1">
      <c r="A76" s="19" t="s">
        <v>32</v>
      </c>
      <c r="B76" s="11"/>
      <c r="C76" s="32">
        <f>C25/0.64868</f>
        <v>4761.9781710550651</v>
      </c>
      <c r="D76" s="32"/>
      <c r="E76" s="32">
        <f>E25/0.64868</f>
        <v>6880.1257939199604</v>
      </c>
      <c r="F76" s="32"/>
      <c r="G76" s="32">
        <f>G25/0.64868</f>
        <v>80928.963433434052</v>
      </c>
      <c r="H76" s="32"/>
      <c r="I76" s="32">
        <f t="shared" si="0"/>
        <v>0</v>
      </c>
      <c r="J76" s="32">
        <f t="shared" si="0"/>
        <v>0</v>
      </c>
      <c r="K76" s="32">
        <f t="shared" si="0"/>
        <v>0</v>
      </c>
      <c r="L76" s="32">
        <f t="shared" si="0"/>
        <v>0</v>
      </c>
      <c r="M76" s="32">
        <f>M25/0.64868</f>
        <v>25484.05993710304</v>
      </c>
      <c r="N76" s="32"/>
      <c r="O76" s="32">
        <f>O25/0.64868</f>
        <v>456.31127828821604</v>
      </c>
      <c r="P76" s="32"/>
      <c r="Q76" s="32">
        <f>Q25/0.64868</f>
        <v>590.4297958931985</v>
      </c>
      <c r="R76" s="32"/>
      <c r="S76" s="32">
        <f>S25/0.64868</f>
        <v>8395.5108836406234</v>
      </c>
      <c r="T76" s="32"/>
      <c r="U76" s="32">
        <f>U25/0.64868</f>
        <v>559.59795276561636</v>
      </c>
      <c r="V76" s="30"/>
      <c r="W76" s="10"/>
      <c r="X76" s="10"/>
      <c r="Y76" s="10"/>
    </row>
    <row r="77" spans="1:26" s="1" customFormat="1" ht="10.15" customHeight="1">
      <c r="A77" s="19" t="s">
        <v>35</v>
      </c>
      <c r="B77" s="11"/>
      <c r="C77" s="32">
        <f>C26/0.67367</f>
        <v>4914.8692980242549</v>
      </c>
      <c r="D77" s="32"/>
      <c r="E77" s="32">
        <f>E26/0.67367</f>
        <v>7028.6638858788428</v>
      </c>
      <c r="F77" s="32"/>
      <c r="G77" s="32">
        <f>G26/0.67367</f>
        <v>101849.57026437277</v>
      </c>
      <c r="H77" s="32"/>
      <c r="I77" s="32">
        <f t="shared" ref="I77:L81" si="1">I26/0.245071</f>
        <v>0</v>
      </c>
      <c r="J77" s="32">
        <f t="shared" si="1"/>
        <v>0</v>
      </c>
      <c r="K77" s="32">
        <f t="shared" si="1"/>
        <v>0</v>
      </c>
      <c r="L77" s="32">
        <f t="shared" si="1"/>
        <v>0</v>
      </c>
      <c r="M77" s="32">
        <f>M26/0.67367</f>
        <v>25864.295574984786</v>
      </c>
      <c r="N77" s="32"/>
      <c r="O77" s="32">
        <f>O26/0.67367</f>
        <v>458.68155031395196</v>
      </c>
      <c r="P77" s="32"/>
      <c r="Q77" s="32">
        <f>Q26/0.67367</f>
        <v>589.30930574316801</v>
      </c>
      <c r="R77" s="32"/>
      <c r="S77" s="32">
        <f>S26/0.67367</f>
        <v>8520.4922291329585</v>
      </c>
      <c r="T77" s="32"/>
      <c r="U77" s="32">
        <f>U26/0.67367</f>
        <v>613.05980673029819</v>
      </c>
      <c r="V77" s="30"/>
      <c r="W77" s="10"/>
      <c r="X77" s="10"/>
      <c r="Y77" s="10"/>
    </row>
    <row r="78" spans="1:26" s="1" customFormat="1" ht="10.15" customHeight="1">
      <c r="A78" s="19" t="s">
        <v>36</v>
      </c>
      <c r="B78" s="11"/>
      <c r="C78" s="32">
        <f>C27/0.69111</f>
        <v>4874.7666796891954</v>
      </c>
      <c r="D78" s="32"/>
      <c r="E78" s="32">
        <f>E27/0.69111</f>
        <v>6794.8662296884722</v>
      </c>
      <c r="F78" s="32"/>
      <c r="G78" s="32">
        <f>G27/0.69111</f>
        <v>98728.133003429262</v>
      </c>
      <c r="H78" s="32"/>
      <c r="I78" s="32">
        <f t="shared" si="1"/>
        <v>0</v>
      </c>
      <c r="J78" s="32">
        <f t="shared" si="1"/>
        <v>0</v>
      </c>
      <c r="K78" s="32">
        <f t="shared" si="1"/>
        <v>0</v>
      </c>
      <c r="L78" s="32">
        <f t="shared" si="1"/>
        <v>0</v>
      </c>
      <c r="M78" s="32">
        <f>M27/0.69111</f>
        <v>26897.310124292806</v>
      </c>
      <c r="N78" s="32"/>
      <c r="O78" s="32">
        <f>O27/0.69111</f>
        <v>458.68240945724995</v>
      </c>
      <c r="P78" s="32"/>
      <c r="Q78" s="32">
        <f>Q27/0.69111</f>
        <v>591.80159453632564</v>
      </c>
      <c r="R78" s="32"/>
      <c r="S78" s="32">
        <f>S27/0.69111</f>
        <v>9105.6416489415569</v>
      </c>
      <c r="T78" s="32"/>
      <c r="U78" s="32">
        <f>U27/0.69111</f>
        <v>685.85319269002036</v>
      </c>
      <c r="V78" s="30"/>
      <c r="W78" s="10"/>
      <c r="X78" s="10"/>
      <c r="Y78" s="10"/>
    </row>
    <row r="79" spans="1:26" s="1" customFormat="1" ht="10.15" customHeight="1">
      <c r="A79" s="19" t="s">
        <v>37</v>
      </c>
      <c r="B79" s="11"/>
      <c r="C79" s="32">
        <f>C28/0.70611</f>
        <v>5053.2595837455347</v>
      </c>
      <c r="D79" s="32"/>
      <c r="E79" s="32">
        <f>E28/0.70611</f>
        <v>6906.3740818640372</v>
      </c>
      <c r="F79" s="32"/>
      <c r="G79" s="32">
        <f>G28/0.70611</f>
        <v>102013.99587627048</v>
      </c>
      <c r="H79" s="32"/>
      <c r="I79" s="32">
        <f t="shared" si="1"/>
        <v>0</v>
      </c>
      <c r="J79" s="32">
        <f t="shared" si="1"/>
        <v>0</v>
      </c>
      <c r="K79" s="32">
        <f t="shared" si="1"/>
        <v>0</v>
      </c>
      <c r="L79" s="32">
        <f t="shared" si="1"/>
        <v>0</v>
      </c>
      <c r="M79" s="32">
        <f>M28/0.70611</f>
        <v>26949.070494816413</v>
      </c>
      <c r="N79" s="32"/>
      <c r="O79" s="32">
        <f>O28/0.70611</f>
        <v>471.02019537036824</v>
      </c>
      <c r="P79" s="32"/>
      <c r="Q79" s="32">
        <f>Q28/0.70611</f>
        <v>640.88704732877193</v>
      </c>
      <c r="R79" s="32"/>
      <c r="S79" s="32">
        <f>S28/0.70611</f>
        <v>9311.3593996367017</v>
      </c>
      <c r="T79" s="32"/>
      <c r="U79" s="32">
        <f>U28/0.70611</f>
        <v>809.16304920637515</v>
      </c>
      <c r="V79" s="30"/>
      <c r="W79" s="10"/>
      <c r="X79" s="10"/>
      <c r="Y79" s="10"/>
    </row>
    <row r="80" spans="1:26" s="1" customFormat="1" ht="10.15" customHeight="1">
      <c r="A80" s="19" t="s">
        <v>38</v>
      </c>
      <c r="B80" s="11"/>
      <c r="C80" s="32">
        <f>C29/0.71835</f>
        <v>4939.0503996853422</v>
      </c>
      <c r="D80" s="32"/>
      <c r="E80" s="32">
        <f>E29/0.71835</f>
        <v>6989.8755061231132</v>
      </c>
      <c r="F80" s="32"/>
      <c r="G80" s="32">
        <f>G29/0.71835</f>
        <v>104350.61585356851</v>
      </c>
      <c r="H80" s="32"/>
      <c r="I80" s="32">
        <f t="shared" si="1"/>
        <v>0</v>
      </c>
      <c r="J80" s="32">
        <f t="shared" si="1"/>
        <v>0</v>
      </c>
      <c r="K80" s="32">
        <f t="shared" si="1"/>
        <v>0</v>
      </c>
      <c r="L80" s="32">
        <f t="shared" si="1"/>
        <v>0</v>
      </c>
      <c r="M80" s="32">
        <f>M29/0.71835</f>
        <v>26976.678748519804</v>
      </c>
      <c r="N80" s="32"/>
      <c r="O80" s="32">
        <f>O29/0.71835</f>
        <v>455.45456474042305</v>
      </c>
      <c r="P80" s="32"/>
      <c r="Q80" s="32">
        <f>Q29/0.71835</f>
        <v>659.41257156914401</v>
      </c>
      <c r="R80" s="32"/>
      <c r="S80" s="32">
        <f>S29/0.71835</f>
        <v>3070.6910452564166</v>
      </c>
      <c r="T80" s="32"/>
      <c r="U80" s="32">
        <f>U29/0.71835</f>
        <v>973.40630429356486</v>
      </c>
      <c r="V80" s="30"/>
      <c r="W80" s="10"/>
      <c r="X80" s="10"/>
      <c r="Y80" s="10"/>
    </row>
    <row r="81" spans="1:31" s="1" customFormat="1" ht="10.15" customHeight="1">
      <c r="A81" s="19" t="s">
        <v>39</v>
      </c>
      <c r="B81" s="11"/>
      <c r="C81" s="32">
        <f>C30/0.734</f>
        <v>5203.5094761639411</v>
      </c>
      <c r="D81" s="32"/>
      <c r="E81" s="32">
        <f>E30/0.734</f>
        <v>6734.4673343190207</v>
      </c>
      <c r="F81" s="32"/>
      <c r="G81" s="32">
        <f>G30/0.734</f>
        <v>104145.61278708147</v>
      </c>
      <c r="H81" s="32"/>
      <c r="I81" s="32">
        <f t="shared" si="1"/>
        <v>0</v>
      </c>
      <c r="J81" s="32">
        <f t="shared" si="1"/>
        <v>0</v>
      </c>
      <c r="K81" s="32">
        <f t="shared" si="1"/>
        <v>0</v>
      </c>
      <c r="L81" s="32">
        <f t="shared" si="1"/>
        <v>0</v>
      </c>
      <c r="M81" s="32">
        <f>M30/0.734</f>
        <v>28021.473953508543</v>
      </c>
      <c r="N81" s="32"/>
      <c r="O81" s="32">
        <f>O30/0.734</f>
        <v>486.12820508714111</v>
      </c>
      <c r="P81" s="32"/>
      <c r="Q81" s="32">
        <f>Q30/0.734</f>
        <v>668.58901459278013</v>
      </c>
      <c r="R81" s="32"/>
      <c r="S81" s="32">
        <f>S30/0.734</f>
        <v>4865.2564473711291</v>
      </c>
      <c r="T81" s="32"/>
      <c r="U81" s="32">
        <f>U30/0.734</f>
        <v>1139.8495429863169</v>
      </c>
      <c r="V81" s="30"/>
      <c r="W81" s="10"/>
      <c r="X81" s="10"/>
      <c r="Y81" s="10"/>
    </row>
    <row r="82" spans="1:31" s="1" customFormat="1" ht="10.15" customHeight="1">
      <c r="A82" s="19" t="s">
        <v>40</v>
      </c>
      <c r="B82" s="11"/>
      <c r="C82" s="32">
        <f>C31/0.75297</f>
        <v>5227.0249291246782</v>
      </c>
      <c r="D82" s="32"/>
      <c r="E82" s="32">
        <f>E31/0.75297</f>
        <v>6532.5290469496649</v>
      </c>
      <c r="F82" s="32"/>
      <c r="G82" s="32">
        <f>G31/0.75297</f>
        <v>105356.13817932518</v>
      </c>
      <c r="H82" s="32"/>
      <c r="I82" s="32">
        <f t="shared" ref="I82:L91" si="2">I30/0.245071</f>
        <v>0</v>
      </c>
      <c r="J82" s="32">
        <f t="shared" si="2"/>
        <v>0</v>
      </c>
      <c r="K82" s="32">
        <f t="shared" si="2"/>
        <v>0</v>
      </c>
      <c r="L82" s="32">
        <f t="shared" si="2"/>
        <v>0</v>
      </c>
      <c r="M82" s="32">
        <f>M31/0.75297</f>
        <v>26853.412808346369</v>
      </c>
      <c r="N82" s="32"/>
      <c r="O82" s="32">
        <f>O31/0.75297</f>
        <v>473.13003840250849</v>
      </c>
      <c r="P82" s="32"/>
      <c r="Q82" s="32">
        <f>Q31/0.75297</f>
        <v>708.20706292260422</v>
      </c>
      <c r="R82" s="32"/>
      <c r="S82" s="32">
        <f>S31/0.75297</f>
        <v>4163.8663602675515</v>
      </c>
      <c r="T82" s="32"/>
      <c r="U82" s="32">
        <f>U31/0.75297</f>
        <v>1295.5073541615836</v>
      </c>
      <c r="V82" s="39"/>
      <c r="W82" s="10"/>
      <c r="X82" s="10"/>
      <c r="Y82" s="11"/>
      <c r="Z82" s="5"/>
      <c r="AA82" s="5"/>
      <c r="AB82" s="5"/>
      <c r="AC82" s="5"/>
      <c r="AD82" s="5"/>
      <c r="AE82" s="5"/>
    </row>
    <row r="83" spans="1:31" s="1" customFormat="1" ht="10.15" customHeight="1">
      <c r="A83" s="19">
        <v>2001</v>
      </c>
      <c r="B83" s="11"/>
      <c r="C83" s="32">
        <f>C32/0.77833</f>
        <v>5247.0709910509449</v>
      </c>
      <c r="D83" s="32"/>
      <c r="E83" s="32">
        <f>E32/0.77833</f>
        <v>6839.5954837837344</v>
      </c>
      <c r="F83" s="32"/>
      <c r="G83" s="32">
        <f>G32/0.77833</f>
        <v>106861.0361604287</v>
      </c>
      <c r="H83" s="32"/>
      <c r="I83" s="32" t="e">
        <f t="shared" si="2"/>
        <v>#REF!</v>
      </c>
      <c r="J83" s="32" t="e">
        <f t="shared" si="2"/>
        <v>#REF!</v>
      </c>
      <c r="K83" s="32" t="e">
        <f t="shared" si="2"/>
        <v>#REF!</v>
      </c>
      <c r="L83" s="32" t="e">
        <f t="shared" si="2"/>
        <v>#REF!</v>
      </c>
      <c r="M83" s="32">
        <f>M32/0.77833</f>
        <v>28174.241772006571</v>
      </c>
      <c r="N83" s="32"/>
      <c r="O83" s="32">
        <f>O32/0.77833</f>
        <v>477.38791902262341</v>
      </c>
      <c r="P83" s="32"/>
      <c r="Q83" s="32">
        <f>Q32/0.77833</f>
        <v>703.98168391064905</v>
      </c>
      <c r="R83" s="32"/>
      <c r="S83" s="32">
        <f>S32/0.77833</f>
        <v>4464.4325059013509</v>
      </c>
      <c r="T83" s="32"/>
      <c r="U83" s="32">
        <f>U32/0.77833</f>
        <v>1389.6743796343139</v>
      </c>
      <c r="V83" s="39"/>
      <c r="W83" s="10"/>
      <c r="X83" s="10"/>
      <c r="Y83" s="11"/>
      <c r="Z83" s="5"/>
      <c r="AA83" s="5"/>
      <c r="AB83" s="5"/>
      <c r="AC83" s="5"/>
      <c r="AD83" s="5"/>
      <c r="AE83" s="5"/>
    </row>
    <row r="84" spans="1:31" s="1" customFormat="1" ht="10.15" customHeight="1">
      <c r="A84" s="19">
        <v>2002</v>
      </c>
      <c r="B84" s="11"/>
      <c r="C84" s="32">
        <f>C33/0.79902</f>
        <v>5416.6941797083318</v>
      </c>
      <c r="D84" s="32"/>
      <c r="E84" s="32">
        <f>E33/0.79902</f>
        <v>7223.2062010299605</v>
      </c>
      <c r="F84" s="32"/>
      <c r="G84" s="32">
        <f>G33/0.79902</f>
        <v>114624.97820661085</v>
      </c>
      <c r="H84" s="32"/>
      <c r="I84" s="32">
        <f t="shared" si="2"/>
        <v>0</v>
      </c>
      <c r="J84" s="32">
        <f t="shared" si="2"/>
        <v>0</v>
      </c>
      <c r="K84" s="32">
        <f t="shared" si="2"/>
        <v>0</v>
      </c>
      <c r="L84" s="32">
        <f t="shared" si="2"/>
        <v>0</v>
      </c>
      <c r="M84" s="32">
        <f>M33/0.79902</f>
        <v>27941.803298691975</v>
      </c>
      <c r="N84" s="32"/>
      <c r="O84" s="32">
        <f>O33/0.79902</f>
        <v>473.53217188778189</v>
      </c>
      <c r="P84" s="32"/>
      <c r="Q84" s="32">
        <f>Q33/0.79902</f>
        <v>714.68129252771803</v>
      </c>
      <c r="R84" s="32"/>
      <c r="S84" s="32">
        <f>S33/0.79902</f>
        <v>4616.4360844098337</v>
      </c>
      <c r="T84" s="32"/>
      <c r="U84" s="32">
        <f>U33/0.79902</f>
        <v>1458.1179097076574</v>
      </c>
      <c r="V84" s="39"/>
      <c r="W84" s="10"/>
      <c r="X84" s="10"/>
      <c r="Y84" s="11"/>
      <c r="Z84" s="5"/>
      <c r="AA84" s="5"/>
      <c r="AB84" s="5"/>
      <c r="AC84" s="5"/>
      <c r="AD84" s="5"/>
      <c r="AE84" s="5"/>
    </row>
    <row r="85" spans="1:31" s="1" customFormat="1" ht="10.15" customHeight="1">
      <c r="A85" s="19">
        <v>2003</v>
      </c>
      <c r="B85" s="11"/>
      <c r="C85" s="32">
        <f>C34/0.82739</f>
        <v>5423.3412211367868</v>
      </c>
      <c r="D85" s="32"/>
      <c r="E85" s="32">
        <f>E34/0.82739</f>
        <v>7308.850679430715</v>
      </c>
      <c r="F85" s="32"/>
      <c r="G85" s="32">
        <f>G34/0.82739</f>
        <v>115166.29441222525</v>
      </c>
      <c r="H85" s="32"/>
      <c r="I85" s="32">
        <f t="shared" si="2"/>
        <v>0</v>
      </c>
      <c r="J85" s="32">
        <f t="shared" si="2"/>
        <v>0</v>
      </c>
      <c r="K85" s="32">
        <f t="shared" si="2"/>
        <v>0</v>
      </c>
      <c r="L85" s="32">
        <f t="shared" si="2"/>
        <v>0</v>
      </c>
      <c r="M85" s="32">
        <f>M34/0.82739</f>
        <v>28864.430060917493</v>
      </c>
      <c r="N85" s="32"/>
      <c r="O85" s="32">
        <f>O34/0.82739</f>
        <v>486.99032787086657</v>
      </c>
      <c r="P85" s="32"/>
      <c r="Q85" s="32">
        <f>Q34/0.82739</f>
        <v>720.93015589912875</v>
      </c>
      <c r="R85" s="32"/>
      <c r="S85" s="32">
        <f>S34/0.82739</f>
        <v>4496.3753667706787</v>
      </c>
      <c r="T85" s="32"/>
      <c r="U85" s="32">
        <f>U34/0.82739</f>
        <v>1562.714224346277</v>
      </c>
      <c r="V85" s="39"/>
      <c r="W85" s="11"/>
      <c r="X85" s="11"/>
      <c r="Y85" s="11"/>
      <c r="Z85" s="5"/>
      <c r="AA85" s="5"/>
      <c r="AB85" s="5"/>
      <c r="AC85" s="5"/>
      <c r="AD85" s="5"/>
      <c r="AE85" s="5"/>
    </row>
    <row r="86" spans="1:31" s="5" customFormat="1" ht="10.15" customHeight="1">
      <c r="A86" s="19">
        <v>2004</v>
      </c>
      <c r="B86" s="11"/>
      <c r="C86" s="32">
        <f>C35/0.85951</f>
        <v>5452.1246583204111</v>
      </c>
      <c r="D86" s="32"/>
      <c r="E86" s="32">
        <f>E35/0.85951</f>
        <v>7487.167640249153</v>
      </c>
      <c r="F86" s="32"/>
      <c r="G86" s="32">
        <f>G35/0.85951</f>
        <v>114345.84387190785</v>
      </c>
      <c r="H86" s="32"/>
      <c r="I86" s="32">
        <f t="shared" si="2"/>
        <v>0</v>
      </c>
      <c r="J86" s="32">
        <f t="shared" si="2"/>
        <v>0</v>
      </c>
      <c r="K86" s="32">
        <f t="shared" si="2"/>
        <v>0</v>
      </c>
      <c r="L86" s="32">
        <f t="shared" si="2"/>
        <v>0</v>
      </c>
      <c r="M86" s="32">
        <f>M35/0.85951</f>
        <v>28603.337623486826</v>
      </c>
      <c r="N86" s="32"/>
      <c r="O86" s="32">
        <f>O35/0.85951</f>
        <v>495.73820283801405</v>
      </c>
      <c r="P86" s="32"/>
      <c r="Q86" s="32">
        <f>Q35/0.85951</f>
        <v>751.37415836227751</v>
      </c>
      <c r="R86" s="32"/>
      <c r="S86" s="32">
        <f>S35/0.85951</f>
        <v>4635.6102211778098</v>
      </c>
      <c r="T86" s="32"/>
      <c r="U86" s="32">
        <f>U35/0.85951</f>
        <v>1667.1654377299715</v>
      </c>
      <c r="V86" s="39"/>
      <c r="W86" s="11"/>
      <c r="X86" s="11"/>
      <c r="Y86" s="11"/>
    </row>
    <row r="87" spans="1:31" s="1" customFormat="1" ht="10.15" customHeight="1">
      <c r="A87" s="19">
        <v>2005</v>
      </c>
      <c r="B87" s="11"/>
      <c r="C87" s="32">
        <f>C36/0.88631</f>
        <v>5374.937286693139</v>
      </c>
      <c r="D87" s="32"/>
      <c r="E87" s="32">
        <f>E36/0.88631</f>
        <v>7221.8955735655009</v>
      </c>
      <c r="F87" s="32"/>
      <c r="G87" s="32">
        <f>G36/0.88631</f>
        <v>120877.79379579825</v>
      </c>
      <c r="H87" s="32"/>
      <c r="I87" s="32">
        <f t="shared" si="2"/>
        <v>0</v>
      </c>
      <c r="J87" s="32">
        <f t="shared" si="2"/>
        <v>0</v>
      </c>
      <c r="K87" s="32">
        <f t="shared" si="2"/>
        <v>0</v>
      </c>
      <c r="L87" s="32">
        <f t="shared" si="2"/>
        <v>0</v>
      </c>
      <c r="M87" s="32">
        <f>M36/0.88631</f>
        <v>29443.28779615723</v>
      </c>
      <c r="N87" s="32"/>
      <c r="O87" s="32">
        <f>O36/0.88631</f>
        <v>526.71587188796741</v>
      </c>
      <c r="P87" s="32"/>
      <c r="Q87" s="32">
        <f>Q36/0.88631</f>
        <v>694.3004530965195</v>
      </c>
      <c r="R87" s="32"/>
      <c r="S87" s="32">
        <f>S36/0.88631</f>
        <v>5069.8777435495595</v>
      </c>
      <c r="T87" s="32"/>
      <c r="U87" s="32">
        <f>U36/0.88631</f>
        <v>1703.7213320684991</v>
      </c>
      <c r="V87" s="39"/>
      <c r="W87" s="10"/>
      <c r="X87" s="10"/>
      <c r="Y87" s="11"/>
      <c r="Z87" s="5"/>
      <c r="AA87" s="5"/>
      <c r="AB87" s="5"/>
      <c r="AC87" s="5"/>
      <c r="AD87" s="5"/>
      <c r="AE87" s="5"/>
    </row>
    <row r="88" spans="1:31" s="1" customFormat="1" ht="10.15" customHeight="1">
      <c r="A88" s="19">
        <v>2006</v>
      </c>
      <c r="B88" s="11"/>
      <c r="C88" s="32">
        <f>C37/0.91444</f>
        <v>5068.9716342263118</v>
      </c>
      <c r="D88" s="32"/>
      <c r="E88" s="32">
        <f>E37/0.91444</f>
        <v>6318.9474001664512</v>
      </c>
      <c r="F88" s="32"/>
      <c r="G88" s="32">
        <f>G37/0.91444</f>
        <v>120642.04123228884</v>
      </c>
      <c r="H88" s="32"/>
      <c r="I88" s="32">
        <f t="shared" si="2"/>
        <v>0</v>
      </c>
      <c r="J88" s="32">
        <f t="shared" si="2"/>
        <v>0</v>
      </c>
      <c r="K88" s="32">
        <f t="shared" si="2"/>
        <v>0</v>
      </c>
      <c r="L88" s="32">
        <f t="shared" si="2"/>
        <v>0</v>
      </c>
      <c r="M88" s="32">
        <f>M37/0.91444</f>
        <v>29001.079007294895</v>
      </c>
      <c r="N88" s="32"/>
      <c r="O88" s="32">
        <f>O37/0.91444</f>
        <v>496.91275536301862</v>
      </c>
      <c r="P88" s="32"/>
      <c r="Q88" s="32">
        <f>Q37/0.91444</f>
        <v>700.83606602488999</v>
      </c>
      <c r="R88" s="32"/>
      <c r="S88" s="32">
        <f>S37/0.91444</f>
        <v>5444.9369814211041</v>
      </c>
      <c r="T88" s="32"/>
      <c r="U88" s="32">
        <f>U37/0.91444</f>
        <v>1125.658973230233</v>
      </c>
      <c r="V88" s="39"/>
      <c r="W88" s="10"/>
      <c r="X88" s="10"/>
      <c r="Y88" s="11"/>
      <c r="Z88" s="5"/>
      <c r="AA88" s="5"/>
      <c r="AB88" s="5"/>
      <c r="AC88" s="5"/>
      <c r="AD88" s="5"/>
      <c r="AE88" s="5"/>
    </row>
    <row r="89" spans="1:31" s="5" customFormat="1" ht="10.15" customHeight="1">
      <c r="A89" s="19">
        <v>2007</v>
      </c>
      <c r="B89" s="11"/>
      <c r="C89" s="32">
        <f>C38/0.94622</f>
        <v>5138.0412681468624</v>
      </c>
      <c r="D89" s="32"/>
      <c r="E89" s="32">
        <f>E38/0.94622</f>
        <v>7599.4411610589495</v>
      </c>
      <c r="F89" s="32"/>
      <c r="G89" s="32">
        <f>G38/0.94622</f>
        <v>120199.64368357538</v>
      </c>
      <c r="H89" s="32"/>
      <c r="I89" s="32">
        <f t="shared" si="2"/>
        <v>0</v>
      </c>
      <c r="J89" s="32">
        <f t="shared" si="2"/>
        <v>0</v>
      </c>
      <c r="K89" s="32">
        <f t="shared" si="2"/>
        <v>0</v>
      </c>
      <c r="L89" s="32">
        <f t="shared" si="2"/>
        <v>0</v>
      </c>
      <c r="M89" s="32">
        <f>M38/0.94622</f>
        <v>29889.485276250394</v>
      </c>
      <c r="N89" s="32"/>
      <c r="O89" s="32">
        <f>O38/0.94622</f>
        <v>482.97486039348451</v>
      </c>
      <c r="P89" s="32"/>
      <c r="Q89" s="32">
        <f>Q38/0.94622</f>
        <v>734.85789172278294</v>
      </c>
      <c r="R89" s="32"/>
      <c r="S89" s="32">
        <f>S38/0.94622</f>
        <v>5637.5246512344975</v>
      </c>
      <c r="T89" s="32"/>
      <c r="U89" s="32">
        <f>U38/0.94622</f>
        <v>978.94178972167992</v>
      </c>
      <c r="V89" s="39"/>
      <c r="W89" s="11"/>
      <c r="X89" s="11"/>
      <c r="Y89" s="11"/>
    </row>
    <row r="90" spans="1:31" s="5" customFormat="1" ht="10.15" customHeight="1">
      <c r="A90" s="19">
        <v>2008</v>
      </c>
      <c r="B90" s="11"/>
      <c r="C90" s="32">
        <f>C39/0.97546</f>
        <v>5177.7142493378196</v>
      </c>
      <c r="D90" s="32"/>
      <c r="E90" s="32">
        <f>E39/0.97546</f>
        <v>7260.8379687070083</v>
      </c>
      <c r="F90" s="32"/>
      <c r="G90" s="32">
        <f>G39/0.97546</f>
        <v>126148.83586173838</v>
      </c>
      <c r="H90" s="32"/>
      <c r="I90" s="32">
        <f t="shared" si="2"/>
        <v>0</v>
      </c>
      <c r="J90" s="32">
        <f t="shared" si="2"/>
        <v>0</v>
      </c>
      <c r="K90" s="32">
        <f t="shared" si="2"/>
        <v>0</v>
      </c>
      <c r="L90" s="32">
        <f t="shared" si="2"/>
        <v>0</v>
      </c>
      <c r="M90" s="32">
        <f>M39/0.97546</f>
        <v>30276.365793329984</v>
      </c>
      <c r="N90" s="32"/>
      <c r="O90" s="32">
        <f>O39/0.97546</f>
        <v>497.2049476698366</v>
      </c>
      <c r="P90" s="32"/>
      <c r="Q90" s="32">
        <f>Q39/0.97546</f>
        <v>754.27387182134567</v>
      </c>
      <c r="R90" s="32"/>
      <c r="S90" s="32">
        <f>S39/0.97546</f>
        <v>5934.7870964283948</v>
      </c>
      <c r="T90" s="32"/>
      <c r="U90" s="32">
        <f>U39/0.97546</f>
        <v>980.77863930888998</v>
      </c>
      <c r="V90" s="39"/>
      <c r="W90" s="11"/>
      <c r="X90" s="11"/>
      <c r="Y90" s="11"/>
    </row>
    <row r="91" spans="1:31" s="1" customFormat="1" ht="10.15" customHeight="1">
      <c r="A91" s="22">
        <v>2009</v>
      </c>
      <c r="B91" s="23"/>
      <c r="C91" s="40">
        <f>C40/1</f>
        <v>5224.553858014684</v>
      </c>
      <c r="D91" s="40"/>
      <c r="E91" s="40">
        <f>E40/1</f>
        <v>7070.0887143580776</v>
      </c>
      <c r="F91" s="40"/>
      <c r="G91" s="40">
        <f>G40/1</f>
        <v>127836.60506537733</v>
      </c>
      <c r="H91" s="40"/>
      <c r="I91" s="40">
        <f t="shared" si="2"/>
        <v>0</v>
      </c>
      <c r="J91" s="40">
        <f t="shared" si="2"/>
        <v>0</v>
      </c>
      <c r="K91" s="40">
        <f t="shared" si="2"/>
        <v>0</v>
      </c>
      <c r="L91" s="40">
        <f t="shared" si="2"/>
        <v>0</v>
      </c>
      <c r="M91" s="40">
        <f>M40/1</f>
        <v>29550.775227487225</v>
      </c>
      <c r="N91" s="40"/>
      <c r="O91" s="40">
        <f>O40/1</f>
        <v>495.64799531690841</v>
      </c>
      <c r="P91" s="40"/>
      <c r="Q91" s="40">
        <f>Q40/1</f>
        <v>734.60708614602765</v>
      </c>
      <c r="R91" s="40"/>
      <c r="S91" s="40">
        <f>S40/1</f>
        <v>6627.9264534479917</v>
      </c>
      <c r="T91" s="40"/>
      <c r="U91" s="40">
        <f>U40/1</f>
        <v>950.56634649653552</v>
      </c>
      <c r="V91" s="41"/>
      <c r="W91" s="10"/>
      <c r="X91" s="10"/>
      <c r="Y91" s="11"/>
      <c r="Z91" s="5"/>
      <c r="AA91" s="5"/>
      <c r="AB91" s="5"/>
      <c r="AC91" s="5"/>
      <c r="AD91" s="5"/>
      <c r="AE91" s="5"/>
    </row>
    <row r="92" spans="1:31" s="3" customFormat="1" ht="9.9499999999999993" customHeight="1">
      <c r="A92" s="12" t="s">
        <v>50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8"/>
      <c r="X92" s="48"/>
      <c r="Y92" s="47"/>
      <c r="Z92" s="49"/>
      <c r="AA92" s="49"/>
      <c r="AB92" s="49"/>
      <c r="AC92" s="49"/>
      <c r="AD92" s="49"/>
      <c r="AE92" s="49"/>
    </row>
    <row r="93" spans="1:31" ht="9.9499999999999993" customHeight="1">
      <c r="A93" s="46" t="s">
        <v>49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1"/>
      <c r="X93" s="11"/>
      <c r="Y93" s="13"/>
      <c r="Z93" s="6"/>
      <c r="AA93" s="6"/>
      <c r="AB93" s="6"/>
      <c r="AC93" s="6"/>
      <c r="AD93" s="6"/>
      <c r="AE93" s="6"/>
    </row>
    <row r="94" spans="1:31" ht="9.9499999999999993" customHeight="1">
      <c r="A94" s="14" t="s">
        <v>51</v>
      </c>
      <c r="W94" s="10"/>
      <c r="X94" s="10"/>
    </row>
    <row r="95" spans="1:31" ht="9" customHeight="1">
      <c r="A95" s="15" t="s">
        <v>52</v>
      </c>
      <c r="W95" s="10"/>
      <c r="X95" s="10"/>
    </row>
    <row r="96" spans="1:31" ht="9" customHeight="1">
      <c r="A96" s="15" t="s">
        <v>53</v>
      </c>
    </row>
    <row r="97" spans="1:1" ht="9" customHeight="1">
      <c r="A97" s="15" t="s">
        <v>54</v>
      </c>
    </row>
    <row r="98" spans="1:1" ht="9.9499999999999993" customHeight="1">
      <c r="A98" s="12" t="s">
        <v>55</v>
      </c>
    </row>
    <row r="99" spans="1:1" ht="9" customHeight="1">
      <c r="A99" s="15" t="s">
        <v>56</v>
      </c>
    </row>
    <row r="100" spans="1:1" ht="9" customHeight="1">
      <c r="A100" s="16" t="s">
        <v>57</v>
      </c>
    </row>
    <row r="101" spans="1:1" ht="9" customHeight="1">
      <c r="A101" s="16" t="s">
        <v>58</v>
      </c>
    </row>
    <row r="102" spans="1:1" ht="9" customHeight="1"/>
    <row r="103" spans="1:1" ht="9.1999999999999993" customHeight="1">
      <c r="A103" s="17" t="s">
        <v>59</v>
      </c>
    </row>
    <row r="104" spans="1:1" ht="8.4499999999999993" customHeight="1">
      <c r="A104" s="16" t="s">
        <v>66</v>
      </c>
    </row>
    <row r="105" spans="1:1" ht="8.4499999999999993" customHeight="1">
      <c r="A105" s="16" t="s">
        <v>71</v>
      </c>
    </row>
    <row r="106" spans="1:1" ht="8.4499999999999993" customHeight="1">
      <c r="A106" s="51" t="s">
        <v>67</v>
      </c>
    </row>
    <row r="107" spans="1:1" ht="8.4499999999999993" customHeight="1">
      <c r="A107" s="51" t="s">
        <v>68</v>
      </c>
    </row>
    <row r="108" spans="1:1" ht="8.4499999999999993" customHeight="1">
      <c r="A108" s="51" t="s">
        <v>64</v>
      </c>
    </row>
    <row r="109" spans="1:1" ht="8.4499999999999993" customHeight="1">
      <c r="A109" s="51" t="s">
        <v>63</v>
      </c>
    </row>
    <row r="110" spans="1:1" ht="8.4499999999999993" customHeight="1">
      <c r="A110" s="51" t="s">
        <v>65</v>
      </c>
    </row>
    <row r="111" spans="1:1" ht="8.4499999999999993" customHeight="1">
      <c r="A111" s="51" t="s">
        <v>73</v>
      </c>
    </row>
    <row r="112" spans="1:1" ht="6" customHeight="1">
      <c r="A112" s="52"/>
    </row>
    <row r="113" spans="1:25" s="4" customFormat="1" ht="9.1999999999999993" customHeight="1">
      <c r="A113" s="18" t="s">
        <v>60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</row>
    <row r="114" spans="1:25" s="4" customFormat="1" ht="8.4499999999999993" customHeight="1">
      <c r="A114" s="16" t="s">
        <v>61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</row>
    <row r="115" spans="1:25" ht="8.4499999999999993" customHeight="1">
      <c r="A115" s="16" t="s">
        <v>72</v>
      </c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</row>
  </sheetData>
  <mergeCells count="7">
    <mergeCell ref="A1:V1"/>
    <mergeCell ref="C56:V56"/>
    <mergeCell ref="A53:V53"/>
    <mergeCell ref="A51:V51"/>
    <mergeCell ref="A3:V3"/>
    <mergeCell ref="A2:V2"/>
    <mergeCell ref="A52:V52"/>
  </mergeCells>
  <phoneticPr fontId="2" type="noConversion"/>
  <printOptions gridLinesSet="0"/>
  <pageMargins left="0.8" right="0.8" top="1" bottom="0.5" header="0.5" footer="0.5"/>
  <pageSetup firstPageNumber="228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TABLE13.12</vt:lpstr>
      <vt:lpstr>TABLE13.12!Print_Area</vt:lpstr>
      <vt:lpstr>Print_Area</vt:lpstr>
      <vt:lpstr>TABLE13.12!Print_Area_MI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2012-06-21T18:21:10Z</cp:lastPrinted>
  <dcterms:created xsi:type="dcterms:W3CDTF">1999-10-08T13:41:26Z</dcterms:created>
  <dcterms:modified xsi:type="dcterms:W3CDTF">2012-06-21T18:21:16Z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846739987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