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3.14" sheetId="1" r:id="rId1"/>
  </sheets>
  <definedNames>
    <definedName name="_Regression_Int" localSheetId="0" hidden="1">1</definedName>
    <definedName name="_xlnm.Print_Area" localSheetId="0">TABLE13.14!$A$1:$V$107</definedName>
    <definedName name="_xlnm.Print_Area">TABLE13.14!$A$1:$U$96</definedName>
    <definedName name="Print_Area_MI" localSheetId="0">TABLE13.14!$A$1:$V$96</definedName>
  </definedNames>
  <calcPr calcId="125725"/>
</workbook>
</file>

<file path=xl/calcChain.xml><?xml version="1.0" encoding="utf-8"?>
<calcChain xmlns="http://schemas.openxmlformats.org/spreadsheetml/2006/main">
  <c r="U40" i="1"/>
  <c r="S40"/>
  <c r="S86" s="1"/>
  <c r="Q40"/>
  <c r="O40"/>
  <c r="E40"/>
  <c r="C40"/>
  <c r="U85"/>
  <c r="S85"/>
  <c r="Q85"/>
  <c r="O85"/>
  <c r="E85"/>
  <c r="C85"/>
  <c r="U84"/>
  <c r="S84"/>
  <c r="Q84"/>
  <c r="O84"/>
  <c r="E84"/>
  <c r="C84"/>
  <c r="U83"/>
  <c r="S83"/>
  <c r="Q83"/>
  <c r="O83"/>
  <c r="E83"/>
  <c r="C83"/>
  <c r="U82"/>
  <c r="S82"/>
  <c r="Q82"/>
  <c r="O82"/>
  <c r="E82"/>
  <c r="C82"/>
  <c r="U81"/>
  <c r="S81"/>
  <c r="Q81"/>
  <c r="O81"/>
  <c r="E81"/>
  <c r="C81"/>
  <c r="U80"/>
  <c r="S80"/>
  <c r="Q80"/>
  <c r="O80"/>
  <c r="E80"/>
  <c r="C80"/>
  <c r="U79"/>
  <c r="S79"/>
  <c r="Q79"/>
  <c r="O79"/>
  <c r="E79"/>
  <c r="C79"/>
  <c r="U78"/>
  <c r="S78"/>
  <c r="Q78"/>
  <c r="O78"/>
  <c r="E78"/>
  <c r="C78"/>
  <c r="U77"/>
  <c r="S77"/>
  <c r="Q77"/>
  <c r="O77"/>
  <c r="E77"/>
  <c r="C77"/>
  <c r="U76"/>
  <c r="S76"/>
  <c r="Q76"/>
  <c r="O76"/>
  <c r="E76"/>
  <c r="C76"/>
  <c r="U75"/>
  <c r="S75"/>
  <c r="Q75"/>
  <c r="O75"/>
  <c r="E75"/>
  <c r="C75"/>
  <c r="U74"/>
  <c r="S74"/>
  <c r="Q74"/>
  <c r="O74"/>
  <c r="E74"/>
  <c r="C74"/>
  <c r="U73"/>
  <c r="S73"/>
  <c r="Q73"/>
  <c r="O73"/>
  <c r="E73"/>
  <c r="C73"/>
  <c r="U72"/>
  <c r="S72"/>
  <c r="Q72"/>
  <c r="O72"/>
  <c r="E72"/>
  <c r="C72"/>
  <c r="U71"/>
  <c r="S71"/>
  <c r="Q71"/>
  <c r="O71"/>
  <c r="E71"/>
  <c r="C71"/>
  <c r="U70"/>
  <c r="S70"/>
  <c r="Q70"/>
  <c r="O70"/>
  <c r="E70"/>
  <c r="C70"/>
  <c r="U69"/>
  <c r="S69"/>
  <c r="Q69"/>
  <c r="O69"/>
  <c r="E69"/>
  <c r="C69"/>
  <c r="U68"/>
  <c r="S68"/>
  <c r="Q68"/>
  <c r="O68"/>
  <c r="E68"/>
  <c r="C68"/>
  <c r="U67"/>
  <c r="S67"/>
  <c r="Q67"/>
  <c r="O67"/>
  <c r="E67"/>
  <c r="C67"/>
  <c r="U66"/>
  <c r="S66"/>
  <c r="Q66"/>
  <c r="O66"/>
  <c r="E66"/>
  <c r="C66"/>
  <c r="U65"/>
  <c r="S65"/>
  <c r="Q65"/>
  <c r="O65"/>
  <c r="E65"/>
  <c r="C65"/>
  <c r="U64"/>
  <c r="S64"/>
  <c r="Q64"/>
  <c r="O64"/>
  <c r="E64"/>
  <c r="C64"/>
  <c r="U63"/>
  <c r="S63"/>
  <c r="Q63"/>
  <c r="O63"/>
  <c r="E63"/>
  <c r="C63"/>
  <c r="U62"/>
  <c r="S62"/>
  <c r="Q62"/>
  <c r="O62"/>
  <c r="E62"/>
  <c r="C62"/>
  <c r="U61"/>
  <c r="S61"/>
  <c r="Q61"/>
  <c r="O61"/>
  <c r="E61"/>
  <c r="C61"/>
  <c r="U60"/>
  <c r="S60"/>
  <c r="Q60"/>
  <c r="O60"/>
  <c r="E60"/>
  <c r="C60"/>
  <c r="U59"/>
  <c r="S59"/>
  <c r="Q59"/>
  <c r="O59"/>
  <c r="E59"/>
  <c r="C59"/>
  <c r="U58"/>
  <c r="S58"/>
  <c r="Q58"/>
  <c r="O58"/>
  <c r="E58"/>
  <c r="C58"/>
  <c r="U57"/>
  <c r="S57"/>
  <c r="Q57"/>
  <c r="O57"/>
  <c r="E57"/>
  <c r="C57"/>
  <c r="U56"/>
  <c r="S56"/>
  <c r="Q56"/>
  <c r="O56"/>
  <c r="E56"/>
  <c r="C56"/>
  <c r="U55"/>
  <c r="S55"/>
  <c r="Q55"/>
  <c r="O55"/>
  <c r="E55"/>
  <c r="C55"/>
  <c r="U54"/>
  <c r="S54"/>
  <c r="Q54"/>
  <c r="O54"/>
  <c r="E54"/>
  <c r="C54"/>
  <c r="U53"/>
  <c r="S53"/>
  <c r="Q53"/>
  <c r="O53"/>
  <c r="E53"/>
  <c r="C53"/>
  <c r="U52"/>
  <c r="S52"/>
  <c r="Q52"/>
  <c r="O52"/>
  <c r="E52"/>
  <c r="C52"/>
  <c r="U86"/>
  <c r="Q86"/>
  <c r="O86"/>
  <c r="E86"/>
  <c r="C86"/>
  <c r="U39"/>
  <c r="S39"/>
  <c r="Q39"/>
  <c r="O39"/>
  <c r="E39"/>
  <c r="C39"/>
  <c r="U38"/>
  <c r="S38"/>
  <c r="Q38"/>
  <c r="O38"/>
  <c r="E38"/>
  <c r="C38"/>
  <c r="U37"/>
  <c r="S37"/>
  <c r="Q37"/>
  <c r="O37"/>
  <c r="E37"/>
  <c r="C37"/>
  <c r="U36"/>
  <c r="S36"/>
  <c r="Q36"/>
  <c r="O36"/>
  <c r="E36"/>
  <c r="C36"/>
  <c r="U35"/>
  <c r="S35"/>
  <c r="Q35"/>
  <c r="O35"/>
  <c r="E35"/>
  <c r="C35"/>
  <c r="U34"/>
  <c r="S34"/>
  <c r="Q34"/>
  <c r="O34"/>
  <c r="E34"/>
  <c r="C34"/>
  <c r="U33"/>
  <c r="S33"/>
  <c r="Q33"/>
  <c r="O33"/>
  <c r="E33"/>
  <c r="C33"/>
  <c r="U32"/>
  <c r="S32"/>
  <c r="Q32"/>
  <c r="O32"/>
  <c r="E32"/>
  <c r="C32"/>
  <c r="U31"/>
  <c r="S31"/>
  <c r="Q31"/>
  <c r="O31"/>
  <c r="E31"/>
  <c r="C31"/>
  <c r="U30"/>
  <c r="S30"/>
  <c r="Q30"/>
  <c r="O30"/>
  <c r="E30"/>
  <c r="C30"/>
  <c r="U29"/>
  <c r="S29"/>
  <c r="Q29"/>
  <c r="O29"/>
  <c r="E29"/>
  <c r="C29"/>
  <c r="C28"/>
</calcChain>
</file>

<file path=xl/sharedStrings.xml><?xml version="1.0" encoding="utf-8"?>
<sst xmlns="http://schemas.openxmlformats.org/spreadsheetml/2006/main" count="203" uniqueCount="67">
  <si>
    <t/>
  </si>
  <si>
    <t>Inpatient</t>
  </si>
  <si>
    <t>nursing</t>
  </si>
  <si>
    <t xml:space="preserve"> 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</si>
  <si>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</si>
  <si>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</si>
  <si>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</si>
  <si>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</si>
  <si>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</si>
  <si>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</si>
  <si>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</si>
  <si>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</si>
  <si>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</si>
  <si>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Drugs</t>
  </si>
  <si>
    <t>1975</t>
  </si>
  <si>
    <t>---</t>
  </si>
  <si>
    <t>--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</si>
  <si>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</si>
  <si>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</si>
  <si>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</si>
  <si>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</si>
  <si>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</si>
  <si>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</si>
  <si>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</si>
  <si>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</si>
  <si>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</si>
  <si>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</si>
  <si>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</si>
  <si>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</si>
  <si>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</si>
  <si>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</si>
  <si>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</si>
  <si>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</si>
  <si>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</si>
  <si>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</si>
  <si>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</si>
  <si>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</si>
  <si>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Nursing</t>
  </si>
  <si>
    <t xml:space="preserve"> Facility</t>
  </si>
  <si>
    <t>Facility</t>
  </si>
  <si>
    <t>Table 13.14</t>
  </si>
  <si>
    <r>
      <t xml:space="preserve">    Total </t>
    </r>
    <r>
      <rPr>
        <vertAlign val="superscript"/>
        <sz val="8"/>
        <rFont val="Arial"/>
        <family val="2"/>
      </rPr>
      <t>1</t>
    </r>
  </si>
  <si>
    <t>Medicaid Payments per Person Served (Beneficiary), Adults, by Type of Service:</t>
  </si>
  <si>
    <t xml:space="preserve">Medicaid Payments per Person Served (Beneficiary), Adults, by Type of Service: 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</si>
  <si>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</si>
  <si>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t>some not shown separately.</t>
  </si>
  <si>
    <t>that may be misleading.</t>
  </si>
  <si>
    <t xml:space="preserve">changes in the definitions of related categories of service. Reporting for 1998 added categories of service for personal care support services and </t>
  </si>
  <si>
    <t xml:space="preserve">home and community-based waiver services ( category not shown separately in table). In 1999 the home and community-based waiver services were </t>
  </si>
  <si>
    <t>reclassified into the other related categories of service (category not shown separately in table).</t>
  </si>
  <si>
    <t xml:space="preserve">SOURCES: Centers for Medicare &amp; Medicaid Services, Center for Medicaid and State Operations: Statistical Report on Medical Care: Eligibles, </t>
  </si>
  <si>
    <t xml:space="preserve">Recipients, Payments, and Services (HCFA 2082), Medicaid Statistical Information System (MSIS), and the personal health care consumption </t>
  </si>
  <si>
    <t>Table 13.14—Continued</t>
  </si>
  <si>
    <r>
      <t xml:space="preserve">   Health </t>
    </r>
    <r>
      <rPr>
        <vertAlign val="superscript"/>
        <sz val="8"/>
        <rFont val="Arial"/>
        <family val="2"/>
      </rPr>
      <t>2</t>
    </r>
  </si>
  <si>
    <r>
      <t>2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</t>
    </r>
  </si>
  <si>
    <r>
      <t>3</t>
    </r>
    <r>
      <rPr>
        <sz val="7"/>
        <rFont val="Arial"/>
        <family val="2"/>
      </rPr>
      <t xml:space="preserve">Average payment per person served are not shown for these categories.  The small number of users causes large fluctuations in the time series </t>
    </r>
  </si>
  <si>
    <t xml:space="preserve">NOTES: Beginning fiscal year 1998, capitated premiums for Medicaid eligibles enrolled in managed care plans were included in this series as a component </t>
  </si>
  <si>
    <t xml:space="preserve">of the total payment per person served (beneficiary). Dollar amounts are adjusted using a personal consumption expenditure index for health care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</si>
  <si>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</si>
  <si>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</si>
  <si>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</si>
  <si>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</si>
  <si>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 xml:space="preserve">were restated for the entire historical period to reflect the new PCE classification structure. ICF/MR is intermediate care facility for the mentally retarded. </t>
  </si>
  <si>
    <t>Fiscal Years 1975-2009</t>
  </si>
  <si>
    <t>(Constant 2009 Dollars)</t>
  </si>
  <si>
    <t xml:space="preserve">services, U.S. Department of Commerce, Bureau of Economic Analysis (BEA), expressed in fiscal year 2009 dollars. With the release of the comprehensive </t>
  </si>
  <si>
    <t>indices form the U.S. Department of Commerce; data development by the Center for Strategic Planning.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</si>
</sst>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2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sz val="7"/>
      <name val="Helv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9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4" fillId="0" borderId="0" xfId="0" applyFont="1"/>
    <xf numFmtId="164" fontId="3" fillId="0" borderId="0" xfId="0" applyFont="1"/>
    <xf numFmtId="164" fontId="6" fillId="0" borderId="0" xfId="0" applyFont="1" applyAlignment="1">
      <alignment vertical="top"/>
    </xf>
    <xf numFmtId="164" fontId="6" fillId="0" borderId="0" xfId="0" applyFont="1" applyAlignment="1">
      <alignment vertical="center"/>
    </xf>
    <xf numFmtId="164" fontId="6" fillId="0" borderId="0" xfId="0" applyFont="1"/>
    <xf numFmtId="164" fontId="8" fillId="0" borderId="0" xfId="0" applyFont="1" applyAlignment="1" applyProtection="1">
      <alignment horizontal="left"/>
    </xf>
    <xf numFmtId="164" fontId="8" fillId="0" borderId="0" xfId="0" applyFont="1"/>
    <xf numFmtId="164" fontId="9" fillId="0" borderId="0" xfId="0" quotePrefix="1" applyNumberFormat="1" applyFont="1" applyBorder="1" applyAlignment="1" applyProtection="1">
      <alignment horizontal="left"/>
    </xf>
    <xf numFmtId="164" fontId="7" fillId="0" borderId="0" xfId="0" applyFont="1" applyBorder="1"/>
    <xf numFmtId="164" fontId="9" fillId="0" borderId="0" xfId="0" applyNumberFormat="1" applyFont="1" applyAlignment="1" applyProtection="1">
      <alignment horizontal="left"/>
    </xf>
    <xf numFmtId="164" fontId="7" fillId="0" borderId="0" xfId="0" applyFont="1"/>
    <xf numFmtId="164" fontId="7" fillId="0" borderId="0" xfId="0" applyNumberFormat="1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7" fillId="0" borderId="0" xfId="0" quotePrefix="1" applyFont="1" applyAlignment="1">
      <alignment horizontal="left"/>
    </xf>
    <xf numFmtId="164" fontId="7" fillId="0" borderId="0" xfId="0" applyFont="1" applyAlignment="1" applyProtection="1">
      <alignment horizontal="left"/>
    </xf>
    <xf numFmtId="164" fontId="8" fillId="0" borderId="0" xfId="0" applyNumberFormat="1" applyFont="1" applyBorder="1" applyAlignment="1" applyProtection="1">
      <alignment horizontal="left"/>
    </xf>
    <xf numFmtId="164" fontId="8" fillId="0" borderId="0" xfId="0" applyFont="1" applyBorder="1"/>
    <xf numFmtId="164" fontId="8" fillId="0" borderId="0" xfId="0" applyNumberFormat="1" applyFont="1" applyBorder="1" applyAlignment="1" applyProtection="1">
      <alignment horizontal="center"/>
    </xf>
    <xf numFmtId="164" fontId="8" fillId="0" borderId="0" xfId="0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center"/>
    </xf>
    <xf numFmtId="164" fontId="8" fillId="0" borderId="1" xfId="0" applyNumberFormat="1" applyFont="1" applyBorder="1" applyAlignment="1" applyProtection="1">
      <alignment horizontal="centerContinuous"/>
    </xf>
    <xf numFmtId="164" fontId="8" fillId="0" borderId="1" xfId="0" applyFont="1" applyBorder="1"/>
    <xf numFmtId="164" fontId="8" fillId="0" borderId="1" xfId="0" applyNumberFormat="1" applyFont="1" applyBorder="1" applyAlignment="1" applyProtection="1">
      <alignment horizontal="center"/>
    </xf>
    <xf numFmtId="164" fontId="8" fillId="0" borderId="1" xfId="0" applyNumberFormat="1" applyFont="1" applyBorder="1" applyAlignment="1" applyProtection="1">
      <alignment horizontal="left"/>
    </xf>
    <xf numFmtId="164" fontId="8" fillId="0" borderId="1" xfId="0" applyFont="1" applyBorder="1" applyAlignment="1" applyProtection="1">
      <alignment horizontal="center"/>
    </xf>
    <xf numFmtId="164" fontId="8" fillId="0" borderId="2" xfId="0" applyNumberFormat="1" applyFont="1" applyBorder="1" applyAlignment="1" applyProtection="1">
      <alignment horizontal="left"/>
    </xf>
    <xf numFmtId="164" fontId="8" fillId="0" borderId="2" xfId="0" applyFont="1" applyBorder="1"/>
    <xf numFmtId="5" fontId="8" fillId="0" borderId="2" xfId="0" applyNumberFormat="1" applyFont="1" applyBorder="1" applyProtection="1"/>
    <xf numFmtId="37" fontId="8" fillId="0" borderId="0" xfId="0" applyNumberFormat="1" applyFont="1" applyAlignment="1" applyProtection="1">
      <alignment horizontal="center"/>
    </xf>
    <xf numFmtId="5" fontId="8" fillId="0" borderId="0" xfId="0" applyNumberFormat="1" applyFont="1" applyAlignment="1" applyProtection="1">
      <alignment horizontal="right"/>
    </xf>
    <xf numFmtId="37" fontId="8" fillId="0" borderId="0" xfId="0" applyNumberFormat="1" applyFont="1" applyProtection="1"/>
    <xf numFmtId="37" fontId="8" fillId="0" borderId="0" xfId="0" applyNumberFormat="1" applyFont="1" applyAlignment="1" applyProtection="1">
      <alignment horizontal="right"/>
    </xf>
    <xf numFmtId="164" fontId="8" fillId="0" borderId="0" xfId="0" applyNumberFormat="1" applyFont="1" applyProtection="1"/>
    <xf numFmtId="164" fontId="8" fillId="0" borderId="0" xfId="0" applyNumberFormat="1" applyFont="1" applyAlignment="1" applyProtection="1">
      <alignment horizontal="centerContinuous"/>
    </xf>
    <xf numFmtId="5" fontId="8" fillId="0" borderId="0" xfId="1" applyNumberFormat="1" applyFont="1" applyProtection="1"/>
    <xf numFmtId="5" fontId="8" fillId="0" borderId="0" xfId="0" applyNumberFormat="1" applyFont="1" applyProtection="1"/>
    <xf numFmtId="165" fontId="8" fillId="0" borderId="0" xfId="1" applyNumberFormat="1" applyFont="1" applyProtection="1"/>
    <xf numFmtId="165" fontId="8" fillId="0" borderId="0" xfId="1" applyNumberFormat="1" applyFont="1" applyBorder="1" applyProtection="1"/>
    <xf numFmtId="37" fontId="8" fillId="0" borderId="0" xfId="0" applyNumberFormat="1" applyFont="1" applyBorder="1" applyProtection="1"/>
    <xf numFmtId="164" fontId="2" fillId="0" borderId="0" xfId="0" applyFont="1" applyBorder="1"/>
    <xf numFmtId="37" fontId="8" fillId="0" borderId="0" xfId="0" applyNumberFormat="1" applyFont="1" applyBorder="1" applyAlignment="1" applyProtection="1">
      <alignment horizontal="right"/>
    </xf>
    <xf numFmtId="165" fontId="8" fillId="0" borderId="1" xfId="1" applyNumberFormat="1" applyFont="1" applyBorder="1" applyProtection="1"/>
    <xf numFmtId="37" fontId="8" fillId="0" borderId="1" xfId="0" applyNumberFormat="1" applyFont="1" applyBorder="1" applyProtection="1"/>
    <xf numFmtId="37" fontId="8" fillId="0" borderId="1" xfId="0" applyNumberFormat="1" applyFont="1" applyBorder="1" applyAlignment="1" applyProtection="1">
      <alignment horizontal="right"/>
    </xf>
    <xf numFmtId="164" fontId="6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8" fillId="0" borderId="0" xfId="0" applyNumberFormat="1" applyFont="1" applyBorder="1" applyAlignment="1" applyProtection="1">
      <alignment horizontal="right"/>
    </xf>
    <xf numFmtId="164" fontId="8" fillId="0" borderId="0" xfId="0" applyNumberFormat="1" applyFont="1" applyAlignment="1" applyProtection="1">
      <alignment horizontal="right"/>
    </xf>
    <xf numFmtId="164" fontId="8" fillId="0" borderId="2" xfId="0" applyFont="1" applyBorder="1" applyAlignment="1" applyProtection="1">
      <alignment horizontal="centerContinuous"/>
    </xf>
    <xf numFmtId="164" fontId="8" fillId="0" borderId="2" xfId="0" applyFont="1" applyBorder="1" applyAlignment="1">
      <alignment horizontal="centerContinuous"/>
    </xf>
    <xf numFmtId="164" fontId="2" fillId="0" borderId="0" xfId="0" applyFont="1" applyAlignment="1">
      <alignment horizontal="centerContinuous"/>
    </xf>
    <xf numFmtId="164" fontId="8" fillId="0" borderId="0" xfId="0" applyFont="1" applyBorder="1" applyAlignment="1">
      <alignment horizontal="centerContinuous"/>
    </xf>
    <xf numFmtId="164" fontId="8" fillId="0" borderId="1" xfId="0" applyNumberFormat="1" applyFont="1" applyBorder="1" applyAlignment="1" applyProtection="1">
      <alignment horizontal="left" vertical="center"/>
    </xf>
    <xf numFmtId="164" fontId="7" fillId="0" borderId="0" xfId="0" applyNumberFormat="1" applyFont="1" applyBorder="1" applyAlignment="1" applyProtection="1">
      <alignment horizontal="left" vertical="center"/>
    </xf>
    <xf numFmtId="164" fontId="7" fillId="0" borderId="0" xfId="0" applyNumberFormat="1" applyFont="1" applyAlignment="1" applyProtection="1">
      <alignment horizontal="left" vertical="center"/>
    </xf>
    <xf numFmtId="164" fontId="0" fillId="0" borderId="0" xfId="0" applyFont="1"/>
    <xf numFmtId="164" fontId="8" fillId="0" borderId="0" xfId="0" applyNumberFormat="1" applyFont="1" applyBorder="1" applyAlignment="1" applyProtection="1">
      <alignment horizontal="left" vertical="center"/>
    </xf>
    <xf numFmtId="164" fontId="7" fillId="0" borderId="0" xfId="0" applyFont="1" applyAlignment="1" applyProtection="1">
      <alignment horizontal="left" vertical="center"/>
    </xf>
    <xf numFmtId="37" fontId="11" fillId="0" borderId="0" xfId="0" applyNumberFormat="1" applyFont="1" applyAlignment="1" applyProtection="1">
      <alignment horizontal="center"/>
    </xf>
    <xf numFmtId="37" fontId="11" fillId="0" borderId="0" xfId="0" applyNumberFormat="1" applyFont="1" applyBorder="1" applyAlignment="1" applyProtection="1">
      <alignment horizontal="center"/>
    </xf>
    <xf numFmtId="37" fontId="11" fillId="0" borderId="1" xfId="0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5" fillId="0" borderId="0" xfId="0" applyNumberFormat="1" applyFont="1" applyAlignment="1" applyProtection="1">
      <alignment horizontal="center" vertical="top"/>
    </xf>
    <xf numFmtId="164" fontId="5" fillId="0" borderId="0" xfId="0" applyFont="1" applyAlignment="1" applyProtection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Y107"/>
  <sheetViews>
    <sheetView showGridLines="0" tabSelected="1" topLeftCell="A61" zoomScale="110" zoomScaleNormal="110" workbookViewId="0">
      <selection activeCell="W46" sqref="W46"/>
    </sheetView>
  </sheetViews>
  <sheetFormatPr defaultColWidth="9.7109375" defaultRowHeight="12.75"/>
  <cols>
    <col min="1" max="1" width="6.7109375" style="8" customWidth="1"/>
    <col min="2" max="2" width="3.7109375" style="8" customWidth="1"/>
    <col min="3" max="3" width="6.5703125" style="8" customWidth="1"/>
    <col min="4" max="4" width="2.7109375" style="8" customWidth="1"/>
    <col min="5" max="5" width="7.85546875" style="8" customWidth="1"/>
    <col min="6" max="6" width="2.7109375" style="8" customWidth="1"/>
    <col min="7" max="7" width="6.7109375" style="8" customWidth="1"/>
    <col min="8" max="8" width="3.7109375" style="8" customWidth="1"/>
    <col min="9" max="12" width="0" style="8" hidden="1" customWidth="1"/>
    <col min="13" max="13" width="6.7109375" style="8" customWidth="1"/>
    <col min="14" max="14" width="2.7109375" style="8" customWidth="1"/>
    <col min="15" max="15" width="6.7109375" style="8" customWidth="1"/>
    <col min="16" max="16" width="3.7109375" style="8" customWidth="1"/>
    <col min="17" max="17" width="6.7109375" style="8" customWidth="1"/>
    <col min="18" max="18" width="3.7109375" style="8" customWidth="1"/>
    <col min="19" max="19" width="5.7109375" style="8" customWidth="1"/>
    <col min="20" max="20" width="3.7109375" style="8" customWidth="1"/>
    <col min="21" max="21" width="6.7109375" style="8" customWidth="1"/>
    <col min="22" max="22" width="2.28515625" style="8" customWidth="1"/>
    <col min="23" max="25" width="9.7109375" style="8"/>
  </cols>
  <sheetData>
    <row r="1" spans="1:25" s="2" customFormat="1" ht="15" customHeight="1">
      <c r="A1" s="67" t="s">
        <v>40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"/>
      <c r="X1" s="6"/>
      <c r="Y1" s="6"/>
    </row>
    <row r="2" spans="1:25" s="49" customFormat="1" ht="12.95" customHeight="1">
      <c r="A2" s="65" t="s">
        <v>42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48"/>
      <c r="X2" s="48"/>
      <c r="Y2" s="48"/>
    </row>
    <row r="3" spans="1:25" s="3" customFormat="1" ht="12.95" customHeight="1">
      <c r="A3" s="66" t="s">
        <v>63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7"/>
      <c r="X3" s="7"/>
      <c r="Y3" s="7"/>
    </row>
    <row r="4" spans="1:25" s="1" customFormat="1" ht="10.5" customHeight="1">
      <c r="A4" s="19" t="s">
        <v>0</v>
      </c>
      <c r="B4" s="20"/>
      <c r="C4" s="20"/>
      <c r="D4" s="20"/>
      <c r="E4" s="50" t="s">
        <v>1</v>
      </c>
      <c r="F4" s="20"/>
      <c r="G4" s="20"/>
      <c r="H4" s="20"/>
      <c r="I4" s="20"/>
      <c r="J4" s="20"/>
      <c r="K4" s="21" t="s">
        <v>2</v>
      </c>
      <c r="L4" s="20"/>
      <c r="M4" s="19" t="s">
        <v>3</v>
      </c>
      <c r="N4" s="20"/>
      <c r="O4" s="20"/>
      <c r="P4" s="20"/>
      <c r="Q4" s="21" t="s">
        <v>4</v>
      </c>
      <c r="R4" s="20"/>
      <c r="S4" s="21" t="s">
        <v>5</v>
      </c>
      <c r="T4" s="20"/>
      <c r="U4" s="19" t="s">
        <v>6</v>
      </c>
      <c r="V4" s="10"/>
      <c r="W4" s="10"/>
      <c r="X4" s="10"/>
      <c r="Y4" s="10"/>
    </row>
    <row r="5" spans="1:25" s="1" customFormat="1" ht="15" customHeight="1">
      <c r="A5" s="22" t="s">
        <v>7</v>
      </c>
      <c r="B5" s="10"/>
      <c r="C5" s="22" t="s">
        <v>41</v>
      </c>
      <c r="D5" s="10"/>
      <c r="E5" s="51" t="s">
        <v>8</v>
      </c>
      <c r="F5" s="10"/>
      <c r="G5" s="24" t="s">
        <v>9</v>
      </c>
      <c r="H5" s="25"/>
      <c r="I5" s="26" t="s">
        <v>10</v>
      </c>
      <c r="J5" s="25"/>
      <c r="K5" s="26" t="s">
        <v>11</v>
      </c>
      <c r="L5" s="25"/>
      <c r="M5" s="27" t="s">
        <v>38</v>
      </c>
      <c r="N5" s="10"/>
      <c r="O5" s="23" t="s">
        <v>12</v>
      </c>
      <c r="P5" s="10"/>
      <c r="Q5" s="51" t="s">
        <v>8</v>
      </c>
      <c r="R5" s="10"/>
      <c r="S5" s="28" t="s">
        <v>53</v>
      </c>
      <c r="T5" s="10"/>
      <c r="U5" s="51" t="s">
        <v>13</v>
      </c>
      <c r="V5" s="25"/>
      <c r="W5" s="10"/>
      <c r="X5" s="10"/>
      <c r="Y5" s="10"/>
    </row>
    <row r="6" spans="1:25" s="1" customFormat="1" ht="12" customHeight="1">
      <c r="A6" s="29" t="s">
        <v>14</v>
      </c>
      <c r="B6" s="30"/>
      <c r="C6" s="31">
        <v>455</v>
      </c>
      <c r="D6" s="30"/>
      <c r="E6" s="31">
        <v>1085</v>
      </c>
      <c r="F6" s="30"/>
      <c r="G6" s="62">
        <v>-3</v>
      </c>
      <c r="H6" s="10"/>
      <c r="I6" s="32" t="s">
        <v>15</v>
      </c>
      <c r="J6" s="10"/>
      <c r="K6" s="33" t="s">
        <v>16</v>
      </c>
      <c r="L6" s="10"/>
      <c r="M6" s="62">
        <v>-3</v>
      </c>
      <c r="N6" s="30"/>
      <c r="O6" s="31">
        <v>116</v>
      </c>
      <c r="P6" s="30"/>
      <c r="Q6" s="31">
        <v>57</v>
      </c>
      <c r="R6" s="30"/>
      <c r="S6" s="31">
        <v>121</v>
      </c>
      <c r="T6" s="30"/>
      <c r="U6" s="31">
        <v>51</v>
      </c>
      <c r="V6" s="20"/>
      <c r="W6" s="10"/>
      <c r="X6" s="10"/>
      <c r="Y6" s="10"/>
    </row>
    <row r="7" spans="1:25" s="1" customFormat="1" ht="11.25" customHeight="1">
      <c r="A7" s="22" t="s">
        <v>17</v>
      </c>
      <c r="B7" s="10"/>
      <c r="C7" s="34">
        <v>479</v>
      </c>
      <c r="D7" s="10"/>
      <c r="E7" s="34">
        <v>1202</v>
      </c>
      <c r="F7" s="10"/>
      <c r="G7" s="62">
        <v>-3</v>
      </c>
      <c r="H7" s="10"/>
      <c r="I7" s="35" t="s">
        <v>16</v>
      </c>
      <c r="J7" s="10"/>
      <c r="K7" s="35" t="s">
        <v>16</v>
      </c>
      <c r="L7" s="10"/>
      <c r="M7" s="62">
        <v>-3</v>
      </c>
      <c r="N7" s="10"/>
      <c r="O7" s="34">
        <v>125</v>
      </c>
      <c r="P7" s="10"/>
      <c r="Q7" s="34">
        <v>74</v>
      </c>
      <c r="R7" s="10"/>
      <c r="S7" s="34">
        <v>284</v>
      </c>
      <c r="T7" s="10"/>
      <c r="U7" s="34">
        <v>46</v>
      </c>
      <c r="V7" s="10"/>
      <c r="W7" s="10"/>
      <c r="X7" s="10"/>
      <c r="Y7" s="10"/>
    </row>
    <row r="8" spans="1:25" s="1" customFormat="1" ht="11.25" customHeight="1">
      <c r="A8" s="22" t="s">
        <v>18</v>
      </c>
      <c r="B8" s="10"/>
      <c r="C8" s="34">
        <v>545</v>
      </c>
      <c r="D8" s="10"/>
      <c r="E8" s="34">
        <v>1302</v>
      </c>
      <c r="F8" s="10"/>
      <c r="G8" s="62">
        <v>-3</v>
      </c>
      <c r="H8" s="10"/>
      <c r="I8" s="35" t="s">
        <v>16</v>
      </c>
      <c r="J8" s="10"/>
      <c r="K8" s="35" t="s">
        <v>16</v>
      </c>
      <c r="L8" s="10"/>
      <c r="M8" s="62">
        <v>-3</v>
      </c>
      <c r="N8" s="10"/>
      <c r="O8" s="34">
        <v>132</v>
      </c>
      <c r="P8" s="10"/>
      <c r="Q8" s="34">
        <v>118</v>
      </c>
      <c r="R8" s="10"/>
      <c r="S8" s="34">
        <v>316</v>
      </c>
      <c r="T8" s="10"/>
      <c r="U8" s="34">
        <v>50</v>
      </c>
      <c r="V8" s="10"/>
      <c r="W8" s="10"/>
      <c r="X8" s="10"/>
      <c r="Y8" s="10"/>
    </row>
    <row r="9" spans="1:25" s="1" customFormat="1" ht="11.25" customHeight="1">
      <c r="A9" s="22" t="s">
        <v>19</v>
      </c>
      <c r="B9" s="10"/>
      <c r="C9" s="34">
        <v>576</v>
      </c>
      <c r="D9" s="10"/>
      <c r="E9" s="34">
        <v>1404</v>
      </c>
      <c r="F9" s="10"/>
      <c r="G9" s="62">
        <v>-3</v>
      </c>
      <c r="H9" s="10"/>
      <c r="I9" s="35" t="s">
        <v>16</v>
      </c>
      <c r="J9" s="10"/>
      <c r="K9" s="35" t="s">
        <v>16</v>
      </c>
      <c r="L9" s="10"/>
      <c r="M9" s="62">
        <v>-3</v>
      </c>
      <c r="N9" s="10"/>
      <c r="O9" s="34">
        <v>140</v>
      </c>
      <c r="P9" s="10"/>
      <c r="Q9" s="34">
        <v>113</v>
      </c>
      <c r="R9" s="10"/>
      <c r="S9" s="34">
        <v>457</v>
      </c>
      <c r="T9" s="10"/>
      <c r="U9" s="34">
        <v>52</v>
      </c>
      <c r="V9" s="10"/>
      <c r="W9" s="10"/>
      <c r="X9" s="10"/>
      <c r="Y9" s="10"/>
    </row>
    <row r="10" spans="1:25" s="1" customFormat="1" ht="11.25" customHeight="1">
      <c r="A10" s="22" t="s">
        <v>20</v>
      </c>
      <c r="B10" s="10"/>
      <c r="C10" s="34">
        <v>661</v>
      </c>
      <c r="D10" s="10"/>
      <c r="E10" s="34">
        <v>1640</v>
      </c>
      <c r="F10" s="10"/>
      <c r="G10" s="62">
        <v>-3</v>
      </c>
      <c r="H10" s="10"/>
      <c r="I10" s="35" t="s">
        <v>16</v>
      </c>
      <c r="J10" s="10"/>
      <c r="K10" s="35" t="s">
        <v>16</v>
      </c>
      <c r="L10" s="10"/>
      <c r="M10" s="62">
        <v>-3</v>
      </c>
      <c r="N10" s="10"/>
      <c r="O10" s="34">
        <v>152</v>
      </c>
      <c r="P10" s="10"/>
      <c r="Q10" s="34">
        <v>127</v>
      </c>
      <c r="R10" s="10"/>
      <c r="S10" s="34">
        <v>765</v>
      </c>
      <c r="T10" s="10"/>
      <c r="U10" s="34">
        <v>61</v>
      </c>
      <c r="V10" s="10"/>
      <c r="W10" s="10"/>
      <c r="X10" s="10"/>
      <c r="Y10" s="10"/>
    </row>
    <row r="11" spans="1:25" s="1" customFormat="1" ht="11.25" customHeight="1">
      <c r="A11" s="22" t="s">
        <v>21</v>
      </c>
      <c r="B11" s="10"/>
      <c r="C11" s="34">
        <v>663</v>
      </c>
      <c r="D11" s="10"/>
      <c r="E11" s="34">
        <v>1673</v>
      </c>
      <c r="F11" s="10"/>
      <c r="G11" s="62">
        <v>-3</v>
      </c>
      <c r="H11" s="10"/>
      <c r="I11" s="35" t="s">
        <v>16</v>
      </c>
      <c r="J11" s="10"/>
      <c r="K11" s="35" t="s">
        <v>16</v>
      </c>
      <c r="L11" s="10"/>
      <c r="M11" s="62">
        <v>-3</v>
      </c>
      <c r="N11" s="10"/>
      <c r="O11" s="34">
        <v>183</v>
      </c>
      <c r="P11" s="10"/>
      <c r="Q11" s="34">
        <v>126</v>
      </c>
      <c r="R11" s="10"/>
      <c r="S11" s="34">
        <v>252</v>
      </c>
      <c r="T11" s="10"/>
      <c r="U11" s="34">
        <v>66</v>
      </c>
      <c r="V11" s="10"/>
      <c r="W11" s="10"/>
      <c r="X11" s="10"/>
      <c r="Y11" s="10"/>
    </row>
    <row r="12" spans="1:25" s="1" customFormat="1" ht="11.25" customHeight="1">
      <c r="A12" s="22" t="s">
        <v>22</v>
      </c>
      <c r="B12" s="10"/>
      <c r="C12" s="34">
        <v>725</v>
      </c>
      <c r="D12" s="10"/>
      <c r="E12" s="34">
        <v>1833</v>
      </c>
      <c r="F12" s="10"/>
      <c r="G12" s="62">
        <v>-3</v>
      </c>
      <c r="H12" s="10"/>
      <c r="I12" s="35" t="s">
        <v>16</v>
      </c>
      <c r="J12" s="10"/>
      <c r="K12" s="35" t="s">
        <v>16</v>
      </c>
      <c r="L12" s="10"/>
      <c r="M12" s="62">
        <v>-3</v>
      </c>
      <c r="N12" s="10"/>
      <c r="O12" s="34">
        <v>193</v>
      </c>
      <c r="P12" s="10"/>
      <c r="Q12" s="34">
        <v>157</v>
      </c>
      <c r="R12" s="10"/>
      <c r="S12" s="34">
        <v>303</v>
      </c>
      <c r="T12" s="10"/>
      <c r="U12" s="34">
        <v>69</v>
      </c>
      <c r="V12" s="10"/>
      <c r="W12" s="10"/>
      <c r="X12" s="10"/>
      <c r="Y12" s="10"/>
    </row>
    <row r="13" spans="1:25" s="1" customFormat="1" ht="11.25" customHeight="1">
      <c r="A13" s="22" t="s">
        <v>23</v>
      </c>
      <c r="B13" s="10"/>
      <c r="C13" s="34">
        <v>764</v>
      </c>
      <c r="D13" s="10"/>
      <c r="E13" s="34">
        <v>2046</v>
      </c>
      <c r="F13" s="10"/>
      <c r="G13" s="62">
        <v>-3</v>
      </c>
      <c r="H13" s="10"/>
      <c r="I13" s="35" t="s">
        <v>16</v>
      </c>
      <c r="J13" s="10"/>
      <c r="K13" s="35" t="s">
        <v>16</v>
      </c>
      <c r="L13" s="10"/>
      <c r="M13" s="62">
        <v>-3</v>
      </c>
      <c r="N13" s="10"/>
      <c r="O13" s="34">
        <v>197</v>
      </c>
      <c r="P13" s="10"/>
      <c r="Q13" s="34">
        <v>162</v>
      </c>
      <c r="R13" s="10"/>
      <c r="S13" s="34">
        <v>352</v>
      </c>
      <c r="T13" s="10"/>
      <c r="U13" s="34">
        <v>74</v>
      </c>
      <c r="V13" s="10"/>
      <c r="W13" s="10"/>
      <c r="X13" s="10"/>
      <c r="Y13" s="10"/>
    </row>
    <row r="14" spans="1:25" s="1" customFormat="1" ht="11.25" customHeight="1">
      <c r="A14" s="22" t="s">
        <v>24</v>
      </c>
      <c r="B14" s="10"/>
      <c r="C14" s="34">
        <v>802</v>
      </c>
      <c r="D14" s="10"/>
      <c r="E14" s="34">
        <v>2146</v>
      </c>
      <c r="F14" s="10"/>
      <c r="G14" s="62">
        <v>-3</v>
      </c>
      <c r="H14" s="10"/>
      <c r="I14" s="35" t="s">
        <v>16</v>
      </c>
      <c r="J14" s="10"/>
      <c r="K14" s="35" t="s">
        <v>16</v>
      </c>
      <c r="L14" s="10"/>
      <c r="M14" s="62">
        <v>-3</v>
      </c>
      <c r="N14" s="10"/>
      <c r="O14" s="34">
        <v>198</v>
      </c>
      <c r="P14" s="10"/>
      <c r="Q14" s="34">
        <v>170</v>
      </c>
      <c r="R14" s="10"/>
      <c r="S14" s="34">
        <v>402</v>
      </c>
      <c r="T14" s="10"/>
      <c r="U14" s="34">
        <v>78</v>
      </c>
      <c r="V14" s="10"/>
      <c r="W14" s="10"/>
      <c r="X14" s="10"/>
      <c r="Y14" s="10"/>
    </row>
    <row r="15" spans="1:25" s="1" customFormat="1" ht="11.25" customHeight="1">
      <c r="A15" s="22" t="s">
        <v>25</v>
      </c>
      <c r="B15" s="10"/>
      <c r="C15" s="34">
        <v>789</v>
      </c>
      <c r="D15" s="10"/>
      <c r="E15" s="34">
        <v>2229</v>
      </c>
      <c r="F15" s="10"/>
      <c r="G15" s="62">
        <v>-3</v>
      </c>
      <c r="H15" s="10"/>
      <c r="I15" s="35" t="s">
        <v>16</v>
      </c>
      <c r="J15" s="10"/>
      <c r="K15" s="35" t="s">
        <v>16</v>
      </c>
      <c r="L15" s="10"/>
      <c r="M15" s="62">
        <v>-3</v>
      </c>
      <c r="N15" s="10"/>
      <c r="O15" s="34">
        <v>197</v>
      </c>
      <c r="P15" s="10"/>
      <c r="Q15" s="34">
        <v>172</v>
      </c>
      <c r="R15" s="10"/>
      <c r="S15" s="34">
        <v>411</v>
      </c>
      <c r="T15" s="10"/>
      <c r="U15" s="34">
        <v>83</v>
      </c>
      <c r="V15" s="10"/>
      <c r="W15" s="10"/>
      <c r="X15" s="10"/>
      <c r="Y15" s="10"/>
    </row>
    <row r="16" spans="1:25" s="1" customFormat="1" ht="11.25" customHeight="1">
      <c r="A16" s="22" t="s">
        <v>26</v>
      </c>
      <c r="B16" s="10"/>
      <c r="C16" s="34">
        <v>860</v>
      </c>
      <c r="D16" s="10"/>
      <c r="E16" s="34">
        <v>2354</v>
      </c>
      <c r="F16" s="10"/>
      <c r="G16" s="62">
        <v>-3</v>
      </c>
      <c r="H16" s="10"/>
      <c r="I16" s="35" t="s">
        <v>16</v>
      </c>
      <c r="J16" s="10"/>
      <c r="K16" s="35" t="s">
        <v>16</v>
      </c>
      <c r="L16" s="10"/>
      <c r="M16" s="62">
        <v>-3</v>
      </c>
      <c r="N16" s="10"/>
      <c r="O16" s="34">
        <v>213</v>
      </c>
      <c r="P16" s="10"/>
      <c r="Q16" s="34">
        <v>183</v>
      </c>
      <c r="R16" s="10"/>
      <c r="S16" s="34">
        <v>483</v>
      </c>
      <c r="T16" s="10"/>
      <c r="U16" s="34">
        <v>96</v>
      </c>
      <c r="V16" s="10"/>
      <c r="W16" s="10"/>
      <c r="X16" s="10"/>
      <c r="Y16" s="10"/>
    </row>
    <row r="17" spans="1:25" s="1" customFormat="1" ht="11.25" customHeight="1">
      <c r="A17" s="22" t="s">
        <v>27</v>
      </c>
      <c r="B17" s="10"/>
      <c r="C17" s="34">
        <v>864</v>
      </c>
      <c r="D17" s="10"/>
      <c r="E17" s="34">
        <v>2237</v>
      </c>
      <c r="F17" s="10"/>
      <c r="G17" s="62">
        <v>-3</v>
      </c>
      <c r="H17" s="10"/>
      <c r="I17" s="35" t="s">
        <v>16</v>
      </c>
      <c r="J17" s="10"/>
      <c r="K17" s="35" t="s">
        <v>16</v>
      </c>
      <c r="L17" s="10"/>
      <c r="M17" s="62">
        <v>-3</v>
      </c>
      <c r="N17" s="10"/>
      <c r="O17" s="34">
        <v>237</v>
      </c>
      <c r="P17" s="10"/>
      <c r="Q17" s="34">
        <v>175</v>
      </c>
      <c r="R17" s="10"/>
      <c r="S17" s="34">
        <v>433</v>
      </c>
      <c r="T17" s="10"/>
      <c r="U17" s="34">
        <v>102</v>
      </c>
      <c r="V17" s="10"/>
      <c r="W17" s="10"/>
      <c r="X17" s="10"/>
      <c r="Y17" s="10"/>
    </row>
    <row r="18" spans="1:25" s="1" customFormat="1" ht="11.25" customHeight="1">
      <c r="A18" s="22" t="s">
        <v>28</v>
      </c>
      <c r="B18" s="10"/>
      <c r="C18" s="34">
        <v>999</v>
      </c>
      <c r="D18" s="10"/>
      <c r="E18" s="34">
        <v>2487</v>
      </c>
      <c r="F18" s="10"/>
      <c r="G18" s="62">
        <v>-3</v>
      </c>
      <c r="H18" s="10"/>
      <c r="I18" s="10"/>
      <c r="J18" s="10"/>
      <c r="K18" s="10"/>
      <c r="L18" s="10"/>
      <c r="M18" s="62">
        <v>-3</v>
      </c>
      <c r="N18" s="10"/>
      <c r="O18" s="34">
        <v>250</v>
      </c>
      <c r="P18" s="10"/>
      <c r="Q18" s="34">
        <v>207</v>
      </c>
      <c r="R18" s="10"/>
      <c r="S18" s="34">
        <v>459</v>
      </c>
      <c r="T18" s="10"/>
      <c r="U18" s="34">
        <v>117</v>
      </c>
      <c r="V18" s="10"/>
      <c r="W18" s="10"/>
      <c r="X18" s="10"/>
      <c r="Y18" s="10"/>
    </row>
    <row r="19" spans="1:25" s="1" customFormat="1" ht="11.25" customHeight="1">
      <c r="A19" s="22" t="s">
        <v>29</v>
      </c>
      <c r="B19" s="10"/>
      <c r="C19" s="34">
        <v>1069</v>
      </c>
      <c r="D19" s="10"/>
      <c r="E19" s="34">
        <v>2542</v>
      </c>
      <c r="F19" s="10"/>
      <c r="G19" s="62">
        <v>-3</v>
      </c>
      <c r="H19" s="10"/>
      <c r="I19" s="35" t="s">
        <v>16</v>
      </c>
      <c r="J19" s="10"/>
      <c r="K19" s="35" t="s">
        <v>16</v>
      </c>
      <c r="L19" s="10"/>
      <c r="M19" s="62">
        <v>-3</v>
      </c>
      <c r="N19" s="10"/>
      <c r="O19" s="34">
        <v>272</v>
      </c>
      <c r="P19" s="10"/>
      <c r="Q19" s="34">
        <v>232</v>
      </c>
      <c r="R19" s="10"/>
      <c r="S19" s="34">
        <v>570</v>
      </c>
      <c r="T19" s="10"/>
      <c r="U19" s="34">
        <v>122</v>
      </c>
      <c r="V19" s="10"/>
      <c r="W19" s="10"/>
      <c r="X19" s="10"/>
      <c r="Y19" s="10"/>
    </row>
    <row r="20" spans="1:25" s="1" customFormat="1" ht="11.25" customHeight="1">
      <c r="A20" s="22" t="s">
        <v>30</v>
      </c>
      <c r="B20" s="10"/>
      <c r="C20" s="34">
        <v>1206</v>
      </c>
      <c r="D20" s="10"/>
      <c r="E20" s="34">
        <v>2582</v>
      </c>
      <c r="F20" s="10"/>
      <c r="G20" s="62">
        <v>-3</v>
      </c>
      <c r="H20" s="10"/>
      <c r="I20" s="32" t="s">
        <v>15</v>
      </c>
      <c r="J20" s="10"/>
      <c r="K20" s="33" t="s">
        <v>16</v>
      </c>
      <c r="L20" s="10"/>
      <c r="M20" s="62">
        <v>-3</v>
      </c>
      <c r="N20" s="10"/>
      <c r="O20" s="34">
        <v>305</v>
      </c>
      <c r="P20" s="10"/>
      <c r="Q20" s="34">
        <v>249</v>
      </c>
      <c r="R20" s="10"/>
      <c r="S20" s="34">
        <v>622</v>
      </c>
      <c r="T20" s="10"/>
      <c r="U20" s="34">
        <v>129</v>
      </c>
      <c r="V20" s="10"/>
      <c r="W20" s="10"/>
      <c r="X20" s="10"/>
      <c r="Y20" s="10"/>
    </row>
    <row r="21" spans="1:25" s="1" customFormat="1" ht="11.25" customHeight="1">
      <c r="A21" s="22" t="s">
        <v>31</v>
      </c>
      <c r="B21" s="10"/>
      <c r="C21" s="34">
        <v>1429.14</v>
      </c>
      <c r="D21" s="10"/>
      <c r="E21" s="34">
        <v>2889.44</v>
      </c>
      <c r="F21" s="10"/>
      <c r="G21" s="62">
        <v>-3</v>
      </c>
      <c r="H21" s="10"/>
      <c r="I21" s="35" t="s">
        <v>16</v>
      </c>
      <c r="J21" s="10"/>
      <c r="K21" s="35" t="s">
        <v>16</v>
      </c>
      <c r="L21" s="10"/>
      <c r="M21" s="62">
        <v>-3</v>
      </c>
      <c r="N21" s="10"/>
      <c r="O21" s="34">
        <v>348.64</v>
      </c>
      <c r="P21" s="10"/>
      <c r="Q21" s="34">
        <v>278.60000000000002</v>
      </c>
      <c r="R21" s="10"/>
      <c r="S21" s="34">
        <v>708.83</v>
      </c>
      <c r="T21" s="10"/>
      <c r="U21" s="34">
        <v>140.69999999999999</v>
      </c>
      <c r="V21" s="10"/>
      <c r="W21" s="10"/>
      <c r="X21" s="10"/>
      <c r="Y21" s="10"/>
    </row>
    <row r="22" spans="1:25" s="1" customFormat="1" ht="11.25" customHeight="1">
      <c r="A22" s="22" t="s">
        <v>32</v>
      </c>
      <c r="B22" s="10"/>
      <c r="C22" s="34">
        <v>1554.62</v>
      </c>
      <c r="D22" s="10"/>
      <c r="E22" s="34">
        <v>3011.63</v>
      </c>
      <c r="F22" s="10"/>
      <c r="G22" s="62">
        <v>-3</v>
      </c>
      <c r="H22" s="10"/>
      <c r="I22" s="35" t="s">
        <v>16</v>
      </c>
      <c r="J22" s="10"/>
      <c r="K22" s="35" t="s">
        <v>16</v>
      </c>
      <c r="L22" s="10"/>
      <c r="M22" s="62">
        <v>-3</v>
      </c>
      <c r="N22" s="10"/>
      <c r="O22" s="34">
        <v>389.25</v>
      </c>
      <c r="P22" s="10"/>
      <c r="Q22" s="34">
        <v>318.75</v>
      </c>
      <c r="R22" s="10"/>
      <c r="S22" s="34">
        <v>569.41</v>
      </c>
      <c r="T22" s="10"/>
      <c r="U22" s="34">
        <v>147.79</v>
      </c>
      <c r="V22" s="10"/>
      <c r="W22" s="10"/>
      <c r="X22" s="10"/>
      <c r="Y22" s="10"/>
    </row>
    <row r="23" spans="1:25" s="1" customFormat="1" ht="11.25" customHeight="1">
      <c r="A23" s="22" t="s">
        <v>33</v>
      </c>
      <c r="B23" s="10"/>
      <c r="C23" s="34">
        <v>1762</v>
      </c>
      <c r="D23" s="34"/>
      <c r="E23" s="34">
        <v>3247</v>
      </c>
      <c r="F23" s="34"/>
      <c r="G23" s="62">
        <v>-3</v>
      </c>
      <c r="H23" s="10"/>
      <c r="I23" s="35" t="s">
        <v>16</v>
      </c>
      <c r="J23" s="10"/>
      <c r="K23" s="35" t="s">
        <v>16</v>
      </c>
      <c r="L23" s="10"/>
      <c r="M23" s="62">
        <v>-3</v>
      </c>
      <c r="N23" s="34"/>
      <c r="O23" s="34">
        <v>417</v>
      </c>
      <c r="P23" s="34"/>
      <c r="Q23" s="34">
        <v>377</v>
      </c>
      <c r="R23" s="34"/>
      <c r="S23" s="34">
        <v>789</v>
      </c>
      <c r="T23" s="34"/>
      <c r="U23" s="34">
        <v>161</v>
      </c>
      <c r="V23" s="34"/>
      <c r="W23" s="10"/>
      <c r="X23" s="10"/>
      <c r="Y23" s="10"/>
    </row>
    <row r="24" spans="1:25" s="1" customFormat="1" ht="11.25" customHeight="1">
      <c r="A24" s="22" t="s">
        <v>34</v>
      </c>
      <c r="B24" s="10"/>
      <c r="C24" s="34">
        <v>1813</v>
      </c>
      <c r="D24" s="34"/>
      <c r="E24" s="34">
        <v>3393</v>
      </c>
      <c r="F24" s="34"/>
      <c r="G24" s="62">
        <v>-3</v>
      </c>
      <c r="H24" s="10"/>
      <c r="I24" s="35" t="s">
        <v>16</v>
      </c>
      <c r="J24" s="10"/>
      <c r="K24" s="35" t="s">
        <v>16</v>
      </c>
      <c r="L24" s="10"/>
      <c r="M24" s="62">
        <v>-3</v>
      </c>
      <c r="N24" s="34"/>
      <c r="O24" s="36">
        <v>423</v>
      </c>
      <c r="P24" s="10"/>
      <c r="Q24" s="36">
        <v>405</v>
      </c>
      <c r="R24" s="10"/>
      <c r="S24" s="36">
        <v>765</v>
      </c>
      <c r="T24" s="10"/>
      <c r="U24" s="36">
        <v>170</v>
      </c>
      <c r="V24" s="10"/>
      <c r="W24" s="10"/>
      <c r="X24" s="10"/>
      <c r="Y24" s="10"/>
    </row>
    <row r="25" spans="1:25" s="1" customFormat="1" ht="11.25" customHeight="1">
      <c r="A25" s="22" t="s">
        <v>35</v>
      </c>
      <c r="B25" s="10"/>
      <c r="C25" s="34">
        <v>1791</v>
      </c>
      <c r="D25" s="34"/>
      <c r="E25" s="34">
        <v>3450</v>
      </c>
      <c r="F25" s="34"/>
      <c r="G25" s="62">
        <v>-3</v>
      </c>
      <c r="H25" s="10"/>
      <c r="I25" s="35" t="s">
        <v>16</v>
      </c>
      <c r="J25" s="10"/>
      <c r="K25" s="35" t="s">
        <v>16</v>
      </c>
      <c r="L25" s="10"/>
      <c r="M25" s="62">
        <v>-3</v>
      </c>
      <c r="N25" s="34"/>
      <c r="O25" s="34">
        <v>420</v>
      </c>
      <c r="P25" s="34"/>
      <c r="Q25" s="34">
        <v>404</v>
      </c>
      <c r="R25" s="34"/>
      <c r="S25" s="34">
        <v>633</v>
      </c>
      <c r="T25" s="34"/>
      <c r="U25" s="34">
        <v>179</v>
      </c>
      <c r="V25" s="34"/>
      <c r="W25" s="10"/>
      <c r="X25" s="10"/>
      <c r="Y25" s="10"/>
    </row>
    <row r="26" spans="1:25" s="1" customFormat="1" ht="11.25" customHeight="1">
      <c r="A26" s="22">
        <v>1995</v>
      </c>
      <c r="B26" s="10"/>
      <c r="C26" s="34">
        <v>1777</v>
      </c>
      <c r="D26" s="34"/>
      <c r="E26" s="34">
        <v>3461</v>
      </c>
      <c r="F26" s="34"/>
      <c r="G26" s="62">
        <v>-3</v>
      </c>
      <c r="H26" s="10"/>
      <c r="I26" s="35" t="s">
        <v>16</v>
      </c>
      <c r="J26" s="10"/>
      <c r="K26" s="35" t="s">
        <v>16</v>
      </c>
      <c r="L26" s="10"/>
      <c r="M26" s="62">
        <v>-3</v>
      </c>
      <c r="N26" s="34"/>
      <c r="O26" s="34">
        <v>424</v>
      </c>
      <c r="P26" s="34"/>
      <c r="Q26" s="34">
        <v>403</v>
      </c>
      <c r="R26" s="34"/>
      <c r="S26" s="34">
        <v>568</v>
      </c>
      <c r="T26" s="34"/>
      <c r="U26" s="34">
        <v>189</v>
      </c>
      <c r="V26" s="34"/>
      <c r="W26" s="10"/>
      <c r="X26" s="10"/>
      <c r="Y26" s="10"/>
    </row>
    <row r="27" spans="1:25" s="1" customFormat="1" ht="11.25" customHeight="1">
      <c r="A27" s="22">
        <v>1996</v>
      </c>
      <c r="B27" s="10"/>
      <c r="C27" s="34">
        <v>1722</v>
      </c>
      <c r="D27" s="34"/>
      <c r="E27" s="34">
        <v>3456</v>
      </c>
      <c r="F27" s="34"/>
      <c r="G27" s="62">
        <v>-3</v>
      </c>
      <c r="H27" s="10"/>
      <c r="I27" s="35" t="s">
        <v>16</v>
      </c>
      <c r="J27" s="10"/>
      <c r="K27" s="35" t="s">
        <v>16</v>
      </c>
      <c r="L27" s="10"/>
      <c r="M27" s="62">
        <v>-3</v>
      </c>
      <c r="N27" s="34"/>
      <c r="O27" s="34">
        <v>429</v>
      </c>
      <c r="P27" s="34"/>
      <c r="Q27" s="34">
        <v>398</v>
      </c>
      <c r="R27" s="34"/>
      <c r="S27" s="34">
        <v>540</v>
      </c>
      <c r="T27" s="34"/>
      <c r="U27" s="34">
        <v>197</v>
      </c>
      <c r="V27" s="34"/>
      <c r="W27" s="10"/>
      <c r="X27" s="10"/>
      <c r="Y27" s="10"/>
    </row>
    <row r="28" spans="1:25" s="1" customFormat="1" ht="11.25" customHeight="1">
      <c r="A28" s="22">
        <v>1997</v>
      </c>
      <c r="B28" s="10"/>
      <c r="C28" s="34">
        <f>12307238768/6802948</f>
        <v>1809.1037544311671</v>
      </c>
      <c r="D28" s="34"/>
      <c r="E28" s="34">
        <v>3654</v>
      </c>
      <c r="F28" s="34"/>
      <c r="G28" s="62">
        <v>-3</v>
      </c>
      <c r="H28" s="10"/>
      <c r="I28" s="35" t="s">
        <v>16</v>
      </c>
      <c r="J28" s="10"/>
      <c r="K28" s="35" t="s">
        <v>16</v>
      </c>
      <c r="L28" s="10"/>
      <c r="M28" s="62">
        <v>-3</v>
      </c>
      <c r="N28" s="34"/>
      <c r="O28" s="34">
        <v>488</v>
      </c>
      <c r="P28" s="34"/>
      <c r="Q28" s="34">
        <v>425</v>
      </c>
      <c r="R28" s="34"/>
      <c r="S28" s="34">
        <v>594</v>
      </c>
      <c r="T28" s="34"/>
      <c r="U28" s="34">
        <v>226</v>
      </c>
      <c r="V28" s="34"/>
      <c r="W28" s="10"/>
      <c r="X28" s="10"/>
      <c r="Y28" s="10"/>
    </row>
    <row r="29" spans="1:25" s="1" customFormat="1" ht="11.25" customHeight="1">
      <c r="A29" s="22">
        <v>1998</v>
      </c>
      <c r="B29" s="10"/>
      <c r="C29" s="34">
        <f>14864732458/7895446</f>
        <v>1882.6969949512668</v>
      </c>
      <c r="D29" s="34"/>
      <c r="E29" s="34">
        <f>4201258106/1134962</f>
        <v>3701.6729247322819</v>
      </c>
      <c r="F29" s="34"/>
      <c r="G29" s="62">
        <v>-3</v>
      </c>
      <c r="H29" s="10"/>
      <c r="I29" s="35" t="s">
        <v>16</v>
      </c>
      <c r="J29" s="10"/>
      <c r="K29" s="35" t="s">
        <v>16</v>
      </c>
      <c r="L29" s="10"/>
      <c r="M29" s="62">
        <v>-3</v>
      </c>
      <c r="N29" s="34"/>
      <c r="O29" s="34">
        <f>1533073398/3352196</f>
        <v>457.33405743578237</v>
      </c>
      <c r="P29" s="34"/>
      <c r="Q29" s="34">
        <f>1183156343/2679121</f>
        <v>441.62109251504506</v>
      </c>
      <c r="R29" s="34"/>
      <c r="S29" s="34">
        <f>61145430/120167</f>
        <v>508.83711834363845</v>
      </c>
      <c r="T29" s="34"/>
      <c r="U29" s="34">
        <f>916777530/3513128</f>
        <v>260.95762238096648</v>
      </c>
      <c r="V29" s="34"/>
      <c r="W29" s="10"/>
      <c r="X29" s="10"/>
      <c r="Y29" s="10"/>
    </row>
    <row r="30" spans="1:25" s="1" customFormat="1" ht="11.25" customHeight="1">
      <c r="A30" s="22">
        <v>1999</v>
      </c>
      <c r="B30" s="10"/>
      <c r="C30" s="34">
        <f>15801202536/7510735</f>
        <v>2103.8157431995669</v>
      </c>
      <c r="D30" s="34"/>
      <c r="E30" s="34">
        <f>4319257571/1134291</f>
        <v>3807.891952770497</v>
      </c>
      <c r="F30" s="34"/>
      <c r="G30" s="62">
        <v>-3</v>
      </c>
      <c r="H30" s="10"/>
      <c r="I30" s="35" t="s">
        <v>16</v>
      </c>
      <c r="J30" s="10"/>
      <c r="K30" s="35" t="s">
        <v>16</v>
      </c>
      <c r="L30" s="10"/>
      <c r="M30" s="62">
        <v>-3</v>
      </c>
      <c r="N30" s="34"/>
      <c r="O30" s="34">
        <f>1578252395/3105201</f>
        <v>508.26094510468084</v>
      </c>
      <c r="P30" s="34"/>
      <c r="Q30" s="34">
        <f>1257565752/2571015</f>
        <v>489.13201673269117</v>
      </c>
      <c r="R30" s="34"/>
      <c r="S30" s="34">
        <f>61997025/86341</f>
        <v>718.0484937631021</v>
      </c>
      <c r="T30" s="34"/>
      <c r="U30" s="34">
        <f>1189307724/3545478</f>
        <v>335.44354921959746</v>
      </c>
      <c r="V30" s="34"/>
      <c r="W30" s="10"/>
      <c r="X30" s="10"/>
      <c r="Y30" s="10"/>
    </row>
    <row r="31" spans="1:25" s="1" customFormat="1" ht="11.25" customHeight="1">
      <c r="A31" s="22">
        <v>2000</v>
      </c>
      <c r="B31" s="10"/>
      <c r="C31" s="34">
        <f>17762792055/8749630</f>
        <v>2030.1192227557051</v>
      </c>
      <c r="D31" s="34"/>
      <c r="E31" s="34">
        <f>4767125908/1268065</f>
        <v>3759.370306727179</v>
      </c>
      <c r="F31" s="34"/>
      <c r="G31" s="62">
        <v>-3</v>
      </c>
      <c r="H31" s="10"/>
      <c r="I31" s="35" t="s">
        <v>16</v>
      </c>
      <c r="J31" s="10"/>
      <c r="K31" s="35" t="s">
        <v>16</v>
      </c>
      <c r="L31" s="10"/>
      <c r="M31" s="62">
        <v>-3</v>
      </c>
      <c r="N31" s="34"/>
      <c r="O31" s="34">
        <f>1697167975/3580258</f>
        <v>474.03510445336622</v>
      </c>
      <c r="P31" s="34"/>
      <c r="Q31" s="34">
        <f>1442724618/2793336</f>
        <v>516.488033662975</v>
      </c>
      <c r="R31" s="34"/>
      <c r="S31" s="34">
        <f>64666169/100807</f>
        <v>641.48490680210705</v>
      </c>
      <c r="T31" s="34"/>
      <c r="U31" s="34">
        <f>1444183592/3962162</f>
        <v>364.49382735991105</v>
      </c>
      <c r="V31" s="34"/>
      <c r="W31" s="10"/>
      <c r="X31" s="10"/>
      <c r="Y31" s="10"/>
    </row>
    <row r="32" spans="1:25" s="1" customFormat="1" ht="11.25" customHeight="1">
      <c r="A32" s="22">
        <v>2001</v>
      </c>
      <c r="B32" s="10"/>
      <c r="C32" s="34">
        <f>20169989957/9758338</f>
        <v>2066.9493060191194</v>
      </c>
      <c r="D32" s="34"/>
      <c r="E32" s="34">
        <f>5274502957/1332282</f>
        <v>3958.9988883734827</v>
      </c>
      <c r="F32" s="34"/>
      <c r="G32" s="62">
        <v>-3</v>
      </c>
      <c r="H32" s="10"/>
      <c r="I32" s="35"/>
      <c r="J32" s="10"/>
      <c r="K32" s="35"/>
      <c r="L32" s="10"/>
      <c r="M32" s="62">
        <v>-3</v>
      </c>
      <c r="N32" s="34"/>
      <c r="O32" s="34">
        <f>1907655484/3998349</f>
        <v>477.11079848207345</v>
      </c>
      <c r="P32" s="34"/>
      <c r="Q32" s="34">
        <f>1638902117/3006197</f>
        <v>545.17455675725842</v>
      </c>
      <c r="R32" s="34"/>
      <c r="S32" s="34">
        <f>73859056/92330</f>
        <v>799.94645294053942</v>
      </c>
      <c r="T32" s="34"/>
      <c r="U32" s="34">
        <f>1777360185/4322102</f>
        <v>411.2258768997122</v>
      </c>
      <c r="V32" s="34"/>
      <c r="W32" s="10"/>
      <c r="X32" s="10"/>
      <c r="Y32" s="10"/>
    </row>
    <row r="33" spans="1:25" s="1" customFormat="1" ht="11.25" customHeight="1">
      <c r="A33" s="22">
        <v>2002</v>
      </c>
      <c r="B33" s="10"/>
      <c r="C33" s="34">
        <f>23635057822/11255079</f>
        <v>2099.9459730136055</v>
      </c>
      <c r="D33" s="34"/>
      <c r="E33" s="34">
        <f>5987734803/1407175</f>
        <v>4255.145808446</v>
      </c>
      <c r="F33" s="34"/>
      <c r="G33" s="62">
        <v>-3</v>
      </c>
      <c r="H33" s="10"/>
      <c r="I33" s="35"/>
      <c r="J33" s="10"/>
      <c r="K33" s="35"/>
      <c r="L33" s="10"/>
      <c r="M33" s="62">
        <v>-3</v>
      </c>
      <c r="N33" s="34"/>
      <c r="O33" s="34">
        <f>2224306205/4862481</f>
        <v>457.44265221807552</v>
      </c>
      <c r="P33" s="34"/>
      <c r="Q33" s="34">
        <f>1981588851/3466903</f>
        <v>571.57320265378064</v>
      </c>
      <c r="R33" s="34"/>
      <c r="S33" s="34">
        <f>57016206/90989</f>
        <v>626.62746046225368</v>
      </c>
      <c r="T33" s="34"/>
      <c r="U33" s="34">
        <f>2333075357/5146075</f>
        <v>453.36987062955745</v>
      </c>
      <c r="V33" s="34"/>
      <c r="W33" s="10"/>
      <c r="X33" s="10"/>
      <c r="Y33" s="10"/>
    </row>
    <row r="34" spans="1:25" s="1" customFormat="1" ht="11.25" customHeight="1">
      <c r="A34" s="22">
        <v>2003</v>
      </c>
      <c r="B34" s="10"/>
      <c r="C34" s="34">
        <f>26799584882/11691086</f>
        <v>2292.3092758020939</v>
      </c>
      <c r="D34" s="34"/>
      <c r="E34" s="34">
        <f>6499567635/1496858</f>
        <v>4342.1404268140332</v>
      </c>
      <c r="F34" s="34"/>
      <c r="G34" s="62">
        <v>-3</v>
      </c>
      <c r="H34" s="10"/>
      <c r="I34" s="35"/>
      <c r="J34" s="10"/>
      <c r="K34" s="35"/>
      <c r="L34" s="10"/>
      <c r="M34" s="62">
        <v>-3</v>
      </c>
      <c r="N34" s="34"/>
      <c r="O34" s="34">
        <f>2496154070/4877374</f>
        <v>511.78237920651566</v>
      </c>
      <c r="P34" s="34"/>
      <c r="Q34" s="34">
        <f>2262332413/3660938</f>
        <v>617.96523541234512</v>
      </c>
      <c r="R34" s="34"/>
      <c r="S34" s="34">
        <f>56816911/97718</f>
        <v>581.43751407110256</v>
      </c>
      <c r="T34" s="34"/>
      <c r="U34" s="34">
        <f>3049865344/5464104</f>
        <v>558.16385339664112</v>
      </c>
      <c r="V34" s="34"/>
      <c r="W34" s="10"/>
      <c r="X34" s="10"/>
      <c r="Y34" s="10"/>
    </row>
    <row r="35" spans="1:25" s="1" customFormat="1" ht="11.25" customHeight="1">
      <c r="A35" s="22">
        <v>2004</v>
      </c>
      <c r="B35" s="10"/>
      <c r="C35" s="34">
        <f>30720502758/12244425</f>
        <v>2508.9379662989481</v>
      </c>
      <c r="D35" s="34"/>
      <c r="E35" s="34">
        <f>6869999536/1554453</f>
        <v>4419.560794697556</v>
      </c>
      <c r="F35" s="34"/>
      <c r="G35" s="62">
        <v>-3</v>
      </c>
      <c r="H35" s="10"/>
      <c r="I35" s="35"/>
      <c r="J35" s="10"/>
      <c r="K35" s="35"/>
      <c r="L35" s="10"/>
      <c r="M35" s="62">
        <v>-3</v>
      </c>
      <c r="N35" s="34"/>
      <c r="O35" s="34">
        <f>2646834330/4890952</f>
        <v>541.16955758306358</v>
      </c>
      <c r="P35" s="34"/>
      <c r="Q35" s="34">
        <f>2530262176/3717753</f>
        <v>680.58910207321469</v>
      </c>
      <c r="R35" s="34"/>
      <c r="S35" s="34">
        <f>58305017/90306</f>
        <v>645.63835182601383</v>
      </c>
      <c r="T35" s="34"/>
      <c r="U35" s="34">
        <f>3588324667/5723912</f>
        <v>626.90073973883591</v>
      </c>
      <c r="V35" s="34"/>
      <c r="W35" s="10"/>
      <c r="X35" s="10"/>
      <c r="Y35" s="10"/>
    </row>
    <row r="36" spans="1:25" s="1" customFormat="1" ht="11.25" customHeight="1">
      <c r="A36" s="22">
        <v>2005</v>
      </c>
      <c r="B36" s="10"/>
      <c r="C36" s="34">
        <f>32214665932/12461147</f>
        <v>2585.2087237234259</v>
      </c>
      <c r="D36" s="34"/>
      <c r="E36" s="34">
        <f>6812782484/1564882</f>
        <v>4353.5438991566134</v>
      </c>
      <c r="F36" s="34"/>
      <c r="G36" s="62">
        <v>-3</v>
      </c>
      <c r="H36" s="10"/>
      <c r="I36" s="35"/>
      <c r="J36" s="10"/>
      <c r="K36" s="35"/>
      <c r="L36" s="10"/>
      <c r="M36" s="62">
        <v>-3</v>
      </c>
      <c r="N36" s="34"/>
      <c r="O36" s="34">
        <f>3032540961/4903718</f>
        <v>618.41667098311939</v>
      </c>
      <c r="P36" s="34"/>
      <c r="Q36" s="34">
        <f>2372989486/3630548</f>
        <v>653.61743902022499</v>
      </c>
      <c r="R36" s="34"/>
      <c r="S36" s="34">
        <f>58258100/96734</f>
        <v>602.25050137490439</v>
      </c>
      <c r="T36" s="34"/>
      <c r="U36" s="34">
        <f>3670197653/5844433</f>
        <v>627.98181671344332</v>
      </c>
      <c r="V36" s="34"/>
      <c r="W36" s="10"/>
      <c r="X36" s="10"/>
      <c r="Y36" s="10"/>
    </row>
    <row r="37" spans="1:25" s="1" customFormat="1" ht="11.25" customHeight="1">
      <c r="A37" s="22">
        <v>2006</v>
      </c>
      <c r="B37" s="10"/>
      <c r="C37" s="34">
        <f>32682314388/12489750</f>
        <v>2616.7308703536901</v>
      </c>
      <c r="D37" s="34"/>
      <c r="E37" s="34">
        <f>7011187931/1797893</f>
        <v>3899.669185541075</v>
      </c>
      <c r="F37" s="34"/>
      <c r="G37" s="62">
        <v>-3</v>
      </c>
      <c r="H37" s="10"/>
      <c r="I37" s="35"/>
      <c r="J37" s="10"/>
      <c r="K37" s="35"/>
      <c r="L37" s="10"/>
      <c r="M37" s="62">
        <v>-3</v>
      </c>
      <c r="N37" s="34"/>
      <c r="O37" s="34">
        <f>2649621463/4697848</f>
        <v>564.00749087667373</v>
      </c>
      <c r="P37" s="34"/>
      <c r="Q37" s="34">
        <f>2419553974/3611351</f>
        <v>669.98582358790384</v>
      </c>
      <c r="R37" s="34"/>
      <c r="S37" s="34">
        <f>59787440/89815</f>
        <v>665.67321716862443</v>
      </c>
      <c r="T37" s="34"/>
      <c r="U37" s="34">
        <f>3221737876/5624208</f>
        <v>572.83405521275176</v>
      </c>
      <c r="V37" s="34"/>
      <c r="W37" s="10"/>
      <c r="X37" s="10"/>
      <c r="Y37" s="10"/>
    </row>
    <row r="38" spans="1:25" s="1" customFormat="1" ht="11.25" customHeight="1">
      <c r="A38" s="22">
        <v>2007</v>
      </c>
      <c r="B38" s="10"/>
      <c r="C38" s="34">
        <f>34153220739/12405352</f>
        <v>2753.103719991178</v>
      </c>
      <c r="D38" s="34"/>
      <c r="E38" s="34">
        <f>6921808237/1470663</f>
        <v>4706.5903181082276</v>
      </c>
      <c r="F38" s="34"/>
      <c r="G38" s="62">
        <v>-3</v>
      </c>
      <c r="H38" s="10"/>
      <c r="I38" s="35"/>
      <c r="J38" s="10"/>
      <c r="K38" s="35"/>
      <c r="L38" s="10"/>
      <c r="M38" s="62">
        <v>-3</v>
      </c>
      <c r="N38" s="34"/>
      <c r="O38" s="34">
        <f>2414827638/4477302</f>
        <v>539.34883954667339</v>
      </c>
      <c r="P38" s="34"/>
      <c r="Q38" s="34">
        <f>2416623439/3349523</f>
        <v>721.48286158954579</v>
      </c>
      <c r="R38" s="34"/>
      <c r="S38" s="34">
        <f>56994763/88913</f>
        <v>641.01720783237545</v>
      </c>
      <c r="T38" s="34"/>
      <c r="U38" s="34">
        <f>3207452545/5420107</f>
        <v>591.76922983254758</v>
      </c>
      <c r="V38" s="34"/>
      <c r="W38" s="10"/>
      <c r="X38" s="10"/>
      <c r="Y38" s="10"/>
    </row>
    <row r="39" spans="1:25" s="1" customFormat="1" ht="11.25" customHeight="1">
      <c r="A39" s="22">
        <v>2008</v>
      </c>
      <c r="B39" s="10"/>
      <c r="C39" s="34">
        <f>37697615209/12947079</f>
        <v>2911.6695131774509</v>
      </c>
      <c r="D39" s="34"/>
      <c r="E39" s="34">
        <f>7094514444/1506360</f>
        <v>4709.7071377359989</v>
      </c>
      <c r="F39" s="34"/>
      <c r="G39" s="62">
        <v>-3</v>
      </c>
      <c r="H39" s="10"/>
      <c r="I39" s="35"/>
      <c r="J39" s="10"/>
      <c r="K39" s="35"/>
      <c r="L39" s="10"/>
      <c r="M39" s="62">
        <v>-3</v>
      </c>
      <c r="N39" s="34"/>
      <c r="O39" s="34">
        <f>2487071585/4377904</f>
        <v>568.09641897127028</v>
      </c>
      <c r="P39" s="34"/>
      <c r="Q39" s="34">
        <f>2517919040/3337022</f>
        <v>754.54073722019211</v>
      </c>
      <c r="R39" s="34"/>
      <c r="S39" s="34">
        <f>55585138/84788</f>
        <v>655.5778883804312</v>
      </c>
      <c r="T39" s="34"/>
      <c r="U39" s="34">
        <f>3391898989/5542713</f>
        <v>611.95645327477712</v>
      </c>
      <c r="V39" s="34"/>
      <c r="W39" s="10"/>
      <c r="X39" s="10"/>
      <c r="Y39" s="10"/>
    </row>
    <row r="40" spans="1:25" s="1" customFormat="1" ht="11.25" customHeight="1">
      <c r="A40" s="22">
        <v>2009</v>
      </c>
      <c r="B40" s="10"/>
      <c r="C40" s="34">
        <f>45422800957/14447006</f>
        <v>3144.0978813880192</v>
      </c>
      <c r="D40" s="34"/>
      <c r="E40" s="34">
        <f>7794630960/1563562</f>
        <v>4985.1754903227375</v>
      </c>
      <c r="F40" s="34"/>
      <c r="G40" s="62">
        <v>-3</v>
      </c>
      <c r="H40" s="10"/>
      <c r="I40" s="35"/>
      <c r="J40" s="10"/>
      <c r="K40" s="35"/>
      <c r="L40" s="10"/>
      <c r="M40" s="62">
        <v>-3</v>
      </c>
      <c r="N40" s="34"/>
      <c r="O40" s="34">
        <f>2710175835/4856707</f>
        <v>558.02745255169805</v>
      </c>
      <c r="P40" s="34"/>
      <c r="Q40" s="34">
        <f>3006036882/3798850</f>
        <v>791.30181028469144</v>
      </c>
      <c r="R40" s="34"/>
      <c r="S40" s="34">
        <f>56570330/77351</f>
        <v>731.34581324094063</v>
      </c>
      <c r="T40" s="34"/>
      <c r="U40" s="34">
        <f>4386410849/6583742</f>
        <v>666.248897511476</v>
      </c>
      <c r="V40" s="34"/>
      <c r="W40" s="10"/>
      <c r="X40" s="10"/>
      <c r="Y40" s="10"/>
    </row>
    <row r="41" spans="1:25" s="1" customFormat="1" ht="10.35" customHeight="1">
      <c r="A41" s="9" t="s">
        <v>36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pans="1:25" s="1" customFormat="1" ht="11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pans="1:25" s="1" customFormat="1" ht="11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:25" s="1" customFormat="1" ht="11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spans="1:25" s="1" customFormat="1" ht="11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spans="1:25" s="2" customFormat="1" ht="15" customHeight="1">
      <c r="A46" s="68" t="s">
        <v>52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"/>
      <c r="X46" s="6"/>
      <c r="Y46" s="6"/>
    </row>
    <row r="47" spans="1:25" s="49" customFormat="1" ht="12.95" customHeight="1">
      <c r="A47" s="65" t="s">
        <v>43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48"/>
      <c r="X47" s="48"/>
      <c r="Y47" s="48"/>
    </row>
    <row r="48" spans="1:25" s="3" customFormat="1" ht="12.95" customHeight="1">
      <c r="A48" s="66" t="s">
        <v>63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7"/>
      <c r="X48" s="7"/>
      <c r="Y48" s="7"/>
    </row>
    <row r="49" spans="1:25" s="1" customFormat="1" ht="10.5" customHeight="1">
      <c r="A49" s="19" t="s">
        <v>0</v>
      </c>
      <c r="B49" s="20"/>
      <c r="C49" s="20"/>
      <c r="D49" s="20"/>
      <c r="E49" s="50" t="s">
        <v>1</v>
      </c>
      <c r="F49" s="20"/>
      <c r="G49" s="20"/>
      <c r="H49" s="20"/>
      <c r="I49" s="20"/>
      <c r="J49" s="20"/>
      <c r="K49" s="21" t="s">
        <v>2</v>
      </c>
      <c r="L49" s="20"/>
      <c r="M49" s="19" t="s">
        <v>37</v>
      </c>
      <c r="N49" s="20"/>
      <c r="O49" s="20"/>
      <c r="P49" s="20"/>
      <c r="Q49" s="21" t="s">
        <v>4</v>
      </c>
      <c r="R49" s="20"/>
      <c r="S49" s="21" t="s">
        <v>5</v>
      </c>
      <c r="T49" s="20"/>
      <c r="U49" s="19" t="s">
        <v>6</v>
      </c>
      <c r="V49" s="20"/>
      <c r="W49" s="10"/>
      <c r="X49" s="10"/>
      <c r="Y49" s="10"/>
    </row>
    <row r="50" spans="1:25" s="1" customFormat="1" ht="13.7" customHeight="1">
      <c r="A50" s="22" t="s">
        <v>7</v>
      </c>
      <c r="B50" s="10"/>
      <c r="C50" s="22" t="s">
        <v>41</v>
      </c>
      <c r="D50" s="10"/>
      <c r="E50" s="51" t="s">
        <v>8</v>
      </c>
      <c r="F50" s="10"/>
      <c r="G50" s="37" t="s">
        <v>9</v>
      </c>
      <c r="H50" s="25"/>
      <c r="I50" s="23" t="s">
        <v>10</v>
      </c>
      <c r="J50" s="10"/>
      <c r="K50" s="23" t="s">
        <v>11</v>
      </c>
      <c r="L50" s="10"/>
      <c r="M50" s="22" t="s">
        <v>39</v>
      </c>
      <c r="N50" s="10"/>
      <c r="O50" s="23" t="s">
        <v>12</v>
      </c>
      <c r="P50" s="10"/>
      <c r="Q50" s="23" t="s">
        <v>8</v>
      </c>
      <c r="R50" s="10"/>
      <c r="S50" s="28" t="s">
        <v>53</v>
      </c>
      <c r="T50" s="10"/>
      <c r="U50" s="51" t="s">
        <v>13</v>
      </c>
      <c r="V50" s="25"/>
      <c r="W50" s="10"/>
      <c r="X50" s="10"/>
      <c r="Y50" s="10"/>
    </row>
    <row r="51" spans="1:25" s="1" customFormat="1" ht="12" customHeight="1">
      <c r="A51" s="30"/>
      <c r="B51" s="30"/>
      <c r="C51" s="52" t="s">
        <v>64</v>
      </c>
      <c r="D51" s="53"/>
      <c r="E51" s="53"/>
      <c r="F51" s="53"/>
      <c r="G51" s="53"/>
      <c r="H51" s="54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5"/>
      <c r="W51" s="10"/>
      <c r="X51" s="10"/>
      <c r="Y51" s="10"/>
    </row>
    <row r="52" spans="1:25" s="1" customFormat="1" ht="11.25" customHeight="1">
      <c r="A52" s="22" t="s">
        <v>14</v>
      </c>
      <c r="B52" s="10"/>
      <c r="C52" s="38">
        <f>C6/0.13952</f>
        <v>3261.1811926605506</v>
      </c>
      <c r="D52" s="39"/>
      <c r="E52" s="38">
        <f>E6/0.13952</f>
        <v>7776.6628440366967</v>
      </c>
      <c r="F52" s="39"/>
      <c r="G52" s="62">
        <v>-3</v>
      </c>
      <c r="H52" s="10"/>
      <c r="I52" s="32" t="s">
        <v>15</v>
      </c>
      <c r="J52" s="10"/>
      <c r="K52" s="33" t="s">
        <v>16</v>
      </c>
      <c r="L52" s="10"/>
      <c r="M52" s="62">
        <v>-3</v>
      </c>
      <c r="N52" s="39"/>
      <c r="O52" s="38">
        <f>O6/0.13952</f>
        <v>831.42201834862385</v>
      </c>
      <c r="P52" s="39"/>
      <c r="Q52" s="38">
        <f>Q6/0.13952</f>
        <v>408.54357798165137</v>
      </c>
      <c r="R52" s="39"/>
      <c r="S52" s="38">
        <f>S6/0.13952</f>
        <v>867.25917431192659</v>
      </c>
      <c r="T52" s="39"/>
      <c r="U52" s="38">
        <f>U6/0.13952</f>
        <v>365.53899082568807</v>
      </c>
      <c r="V52" s="10"/>
      <c r="W52" s="10"/>
      <c r="X52" s="10"/>
      <c r="Y52" s="10"/>
    </row>
    <row r="53" spans="1:25" s="1" customFormat="1" ht="11.25" customHeight="1">
      <c r="A53" s="22" t="s">
        <v>17</v>
      </c>
      <c r="B53" s="10"/>
      <c r="C53" s="40">
        <f>C7/0.15752</f>
        <v>3040.8836973082784</v>
      </c>
      <c r="D53" s="34"/>
      <c r="E53" s="40">
        <f>E7/0.15752</f>
        <v>7630.7770441848661</v>
      </c>
      <c r="F53" s="34"/>
      <c r="G53" s="62">
        <v>-3</v>
      </c>
      <c r="H53" s="10"/>
      <c r="I53" s="35" t="s">
        <v>16</v>
      </c>
      <c r="J53" s="10"/>
      <c r="K53" s="35" t="s">
        <v>16</v>
      </c>
      <c r="L53" s="10"/>
      <c r="M53" s="62">
        <v>-3</v>
      </c>
      <c r="N53" s="34"/>
      <c r="O53" s="40">
        <f>O7/0.15752</f>
        <v>793.55002539360089</v>
      </c>
      <c r="P53" s="34"/>
      <c r="Q53" s="40">
        <f>Q7/0.15752</f>
        <v>469.78161503301169</v>
      </c>
      <c r="R53" s="34"/>
      <c r="S53" s="40">
        <f>S7/0.15752</f>
        <v>1802.9456576942612</v>
      </c>
      <c r="T53" s="34"/>
      <c r="U53" s="40">
        <f>U7/0.15752</f>
        <v>292.02640934484509</v>
      </c>
      <c r="V53" s="10"/>
      <c r="W53" s="10"/>
      <c r="X53" s="10"/>
      <c r="Y53" s="10"/>
    </row>
    <row r="54" spans="1:25" s="1" customFormat="1" ht="11.25" customHeight="1">
      <c r="A54" s="22">
        <v>1977</v>
      </c>
      <c r="B54" s="10"/>
      <c r="C54" s="40">
        <f>C8/0.17094</f>
        <v>3188.253188253188</v>
      </c>
      <c r="D54" s="34"/>
      <c r="E54" s="40">
        <f>E8/0.17094</f>
        <v>7616.7076167076166</v>
      </c>
      <c r="F54" s="34"/>
      <c r="G54" s="62">
        <v>-3</v>
      </c>
      <c r="H54" s="10"/>
      <c r="I54" s="35" t="s">
        <v>16</v>
      </c>
      <c r="J54" s="10"/>
      <c r="K54" s="35" t="s">
        <v>16</v>
      </c>
      <c r="L54" s="10"/>
      <c r="M54" s="62">
        <v>-3</v>
      </c>
      <c r="N54" s="34"/>
      <c r="O54" s="40">
        <f>O8/0.17094</f>
        <v>772.20077220077212</v>
      </c>
      <c r="P54" s="34"/>
      <c r="Q54" s="40">
        <f>Q8/0.17094</f>
        <v>690.30069030069023</v>
      </c>
      <c r="R54" s="34"/>
      <c r="S54" s="40">
        <f>S8/0.17094</f>
        <v>1848.6018486018486</v>
      </c>
      <c r="T54" s="34"/>
      <c r="U54" s="40">
        <f>U8/0.17094</f>
        <v>292.50029250029246</v>
      </c>
      <c r="V54" s="10"/>
      <c r="W54" s="10"/>
      <c r="X54" s="10"/>
      <c r="Y54" s="10"/>
    </row>
    <row r="55" spans="1:25" s="1" customFormat="1" ht="11.25" customHeight="1">
      <c r="A55" s="22" t="s">
        <v>19</v>
      </c>
      <c r="B55" s="10"/>
      <c r="C55" s="40">
        <f>C9/0.18469</f>
        <v>3118.7395094482649</v>
      </c>
      <c r="D55" s="34"/>
      <c r="E55" s="40">
        <f>E9/0.18469</f>
        <v>7601.9275542801452</v>
      </c>
      <c r="F55" s="34"/>
      <c r="G55" s="62">
        <v>-3</v>
      </c>
      <c r="H55" s="10"/>
      <c r="I55" s="35" t="s">
        <v>16</v>
      </c>
      <c r="J55" s="10"/>
      <c r="K55" s="35" t="s">
        <v>16</v>
      </c>
      <c r="L55" s="10"/>
      <c r="M55" s="62">
        <v>-3</v>
      </c>
      <c r="N55" s="34"/>
      <c r="O55" s="40">
        <f>O9/0.18469</f>
        <v>758.02696410200883</v>
      </c>
      <c r="P55" s="34"/>
      <c r="Q55" s="40">
        <f>Q9/0.18469</f>
        <v>611.83604959662136</v>
      </c>
      <c r="R55" s="34"/>
      <c r="S55" s="40">
        <f>S9/0.18469</f>
        <v>2474.4165899615573</v>
      </c>
      <c r="T55" s="34"/>
      <c r="U55" s="40">
        <f>U9/0.18469</f>
        <v>281.55287238074612</v>
      </c>
      <c r="V55" s="10"/>
      <c r="W55" s="10"/>
      <c r="X55" s="10"/>
      <c r="Y55" s="10"/>
    </row>
    <row r="56" spans="1:25" s="1" customFormat="1" ht="11.25" customHeight="1">
      <c r="A56" s="22" t="s">
        <v>20</v>
      </c>
      <c r="B56" s="10"/>
      <c r="C56" s="40">
        <f>C10/0.20256</f>
        <v>3263.2306477093207</v>
      </c>
      <c r="D56" s="34"/>
      <c r="E56" s="40">
        <f>E10/0.20256</f>
        <v>8096.3665086887841</v>
      </c>
      <c r="F56" s="34"/>
      <c r="G56" s="62">
        <v>-3</v>
      </c>
      <c r="H56" s="10"/>
      <c r="I56" s="35" t="s">
        <v>16</v>
      </c>
      <c r="J56" s="10"/>
      <c r="K56" s="35" t="s">
        <v>16</v>
      </c>
      <c r="L56" s="10"/>
      <c r="M56" s="62">
        <v>-3</v>
      </c>
      <c r="N56" s="34"/>
      <c r="O56" s="40">
        <f>O10/0.20256</f>
        <v>750.39494470774093</v>
      </c>
      <c r="P56" s="34"/>
      <c r="Q56" s="40">
        <f>Q10/0.20256</f>
        <v>626.97472353870467</v>
      </c>
      <c r="R56" s="34"/>
      <c r="S56" s="40">
        <f>S10/0.20256</f>
        <v>3776.658767772512</v>
      </c>
      <c r="T56" s="34"/>
      <c r="U56" s="40">
        <f>U10/0.20256</f>
        <v>301.14533965244868</v>
      </c>
      <c r="V56" s="10"/>
      <c r="W56" s="10"/>
      <c r="X56" s="10"/>
      <c r="Y56" s="10"/>
    </row>
    <row r="57" spans="1:25" s="1" customFormat="1" ht="11.25" customHeight="1">
      <c r="A57" s="22" t="s">
        <v>21</v>
      </c>
      <c r="B57" s="10"/>
      <c r="C57" s="40">
        <f>C11/0.22548</f>
        <v>2940.393826503459</v>
      </c>
      <c r="D57" s="34"/>
      <c r="E57" s="40">
        <f>E11/0.22548</f>
        <v>7419.7268050381408</v>
      </c>
      <c r="F57" s="34"/>
      <c r="G57" s="62">
        <v>-3</v>
      </c>
      <c r="H57" s="10"/>
      <c r="I57" s="35" t="s">
        <v>16</v>
      </c>
      <c r="J57" s="10"/>
      <c r="K57" s="35" t="s">
        <v>16</v>
      </c>
      <c r="L57" s="10"/>
      <c r="M57" s="62">
        <v>-3</v>
      </c>
      <c r="N57" s="34"/>
      <c r="O57" s="40">
        <f>O11/0.22548</f>
        <v>811.60191591271951</v>
      </c>
      <c r="P57" s="34"/>
      <c r="Q57" s="40">
        <f>Q11/0.22548</f>
        <v>558.80787653006917</v>
      </c>
      <c r="R57" s="34"/>
      <c r="S57" s="40">
        <f>S11/0.22548</f>
        <v>1117.6157530601383</v>
      </c>
      <c r="T57" s="34"/>
      <c r="U57" s="40">
        <f>U11/0.22548</f>
        <v>292.70888770622668</v>
      </c>
      <c r="V57" s="10"/>
      <c r="W57" s="10"/>
      <c r="X57" s="10"/>
      <c r="Y57" s="10"/>
    </row>
    <row r="58" spans="1:25" s="1" customFormat="1" ht="11.25" customHeight="1">
      <c r="A58" s="22" t="s">
        <v>22</v>
      </c>
      <c r="B58" s="10"/>
      <c r="C58" s="40">
        <f>C12/0.25329</f>
        <v>2862.3317146353979</v>
      </c>
      <c r="D58" s="34"/>
      <c r="E58" s="40">
        <f>E12/0.25329</f>
        <v>7236.7641833471507</v>
      </c>
      <c r="F58" s="34"/>
      <c r="G58" s="62">
        <v>-3</v>
      </c>
      <c r="H58" s="10"/>
      <c r="I58" s="35" t="s">
        <v>16</v>
      </c>
      <c r="J58" s="10"/>
      <c r="K58" s="35" t="s">
        <v>16</v>
      </c>
      <c r="L58" s="10"/>
      <c r="M58" s="62">
        <v>-3</v>
      </c>
      <c r="N58" s="34"/>
      <c r="O58" s="40">
        <f>O12/0.25329</f>
        <v>761.97244265466452</v>
      </c>
      <c r="P58" s="34"/>
      <c r="Q58" s="40">
        <f>Q12/0.25329</f>
        <v>619.84286785897586</v>
      </c>
      <c r="R58" s="34"/>
      <c r="S58" s="40">
        <f>S12/0.25329</f>
        <v>1196.2572545303801</v>
      </c>
      <c r="T58" s="34"/>
      <c r="U58" s="40">
        <f>U12/0.25329</f>
        <v>272.41501835840342</v>
      </c>
      <c r="V58" s="10"/>
      <c r="W58" s="10"/>
      <c r="X58" s="10"/>
      <c r="Y58" s="10"/>
    </row>
    <row r="59" spans="1:25" s="1" customFormat="1" ht="11.25" customHeight="1">
      <c r="A59" s="22" t="s">
        <v>23</v>
      </c>
      <c r="B59" s="10"/>
      <c r="C59" s="40">
        <f>C13/0.28334</f>
        <v>2696.4071433613331</v>
      </c>
      <c r="D59" s="34"/>
      <c r="E59" s="40">
        <f>E13/0.28334</f>
        <v>7221.0065645514233</v>
      </c>
      <c r="F59" s="34"/>
      <c r="G59" s="62">
        <v>-3</v>
      </c>
      <c r="H59" s="10"/>
      <c r="I59" s="35" t="s">
        <v>16</v>
      </c>
      <c r="J59" s="10"/>
      <c r="K59" s="35" t="s">
        <v>16</v>
      </c>
      <c r="L59" s="10"/>
      <c r="M59" s="62">
        <v>-3</v>
      </c>
      <c r="N59" s="34"/>
      <c r="O59" s="40">
        <f>O13/0.28334</f>
        <v>695.27775817039605</v>
      </c>
      <c r="P59" s="34"/>
      <c r="Q59" s="40">
        <f>Q13/0.28334</f>
        <v>571.75125291169627</v>
      </c>
      <c r="R59" s="34"/>
      <c r="S59" s="40">
        <f>S13/0.28334</f>
        <v>1242.3237100303522</v>
      </c>
      <c r="T59" s="34"/>
      <c r="U59" s="40">
        <f>U13/0.28334</f>
        <v>261.17032540410815</v>
      </c>
      <c r="V59" s="10"/>
      <c r="W59" s="10"/>
      <c r="X59" s="10"/>
      <c r="Y59" s="10"/>
    </row>
    <row r="60" spans="1:25" s="1" customFormat="1" ht="11.25" customHeight="1">
      <c r="A60" s="22" t="s">
        <v>24</v>
      </c>
      <c r="B60" s="10"/>
      <c r="C60" s="40">
        <f>C14/0.31031</f>
        <v>2584.5122619316171</v>
      </c>
      <c r="D60" s="34"/>
      <c r="E60" s="40">
        <f>E14/0.31031</f>
        <v>6915.66498018111</v>
      </c>
      <c r="F60" s="34"/>
      <c r="G60" s="62">
        <v>-3</v>
      </c>
      <c r="H60" s="10"/>
      <c r="I60" s="35" t="s">
        <v>16</v>
      </c>
      <c r="J60" s="10"/>
      <c r="K60" s="35" t="s">
        <v>16</v>
      </c>
      <c r="L60" s="10"/>
      <c r="M60" s="62">
        <v>-3</v>
      </c>
      <c r="N60" s="34"/>
      <c r="O60" s="40">
        <f>O14/0.31031</f>
        <v>638.0716058135414</v>
      </c>
      <c r="P60" s="34"/>
      <c r="Q60" s="40">
        <f>Q14/0.31031</f>
        <v>547.83925751667687</v>
      </c>
      <c r="R60" s="34"/>
      <c r="S60" s="40">
        <f>S14/0.31031</f>
        <v>1295.4787148335536</v>
      </c>
      <c r="T60" s="34"/>
      <c r="U60" s="40">
        <f>U14/0.31031</f>
        <v>251.36154168412236</v>
      </c>
      <c r="V60" s="10"/>
      <c r="W60" s="10"/>
      <c r="X60" s="10"/>
      <c r="Y60" s="10"/>
    </row>
    <row r="61" spans="1:25" s="1" customFormat="1" ht="11.25" customHeight="1">
      <c r="A61" s="22" t="s">
        <v>25</v>
      </c>
      <c r="B61" s="10"/>
      <c r="C61" s="40">
        <f>C15/0.33498</f>
        <v>2355.3644993730968</v>
      </c>
      <c r="D61" s="34"/>
      <c r="E61" s="40">
        <f>E15/0.33498</f>
        <v>6654.1286046928171</v>
      </c>
      <c r="F61" s="34"/>
      <c r="G61" s="62">
        <v>-3</v>
      </c>
      <c r="H61" s="10"/>
      <c r="I61" s="35" t="s">
        <v>16</v>
      </c>
      <c r="J61" s="10"/>
      <c r="K61" s="35" t="s">
        <v>16</v>
      </c>
      <c r="L61" s="10"/>
      <c r="M61" s="62">
        <v>-3</v>
      </c>
      <c r="N61" s="34"/>
      <c r="O61" s="40">
        <f>O15/0.33498</f>
        <v>588.09481163054511</v>
      </c>
      <c r="P61" s="34"/>
      <c r="Q61" s="40">
        <f>Q15/0.33498</f>
        <v>513.4634903576333</v>
      </c>
      <c r="R61" s="34"/>
      <c r="S61" s="40">
        <f>S15/0.33498</f>
        <v>1226.9389217266703</v>
      </c>
      <c r="T61" s="34"/>
      <c r="U61" s="40">
        <f>U15/0.33498</f>
        <v>247.77598662606724</v>
      </c>
      <c r="V61" s="10"/>
      <c r="W61" s="10"/>
      <c r="X61" s="10"/>
      <c r="Y61" s="10"/>
    </row>
    <row r="62" spans="1:25" s="1" customFormat="1" ht="11.25" customHeight="1">
      <c r="A62" s="22" t="s">
        <v>26</v>
      </c>
      <c r="B62" s="10"/>
      <c r="C62" s="40">
        <f>C16/0.35613</f>
        <v>2414.8485103754247</v>
      </c>
      <c r="D62" s="34"/>
      <c r="E62" s="40">
        <f>E16/0.35613</f>
        <v>6609.9458063066859</v>
      </c>
      <c r="F62" s="34"/>
      <c r="G62" s="62">
        <v>-3</v>
      </c>
      <c r="H62" s="10"/>
      <c r="I62" s="35" t="s">
        <v>16</v>
      </c>
      <c r="J62" s="10"/>
      <c r="K62" s="35" t="s">
        <v>16</v>
      </c>
      <c r="L62" s="10"/>
      <c r="M62" s="62">
        <v>-3</v>
      </c>
      <c r="N62" s="34"/>
      <c r="O62" s="40">
        <f>O16/0.35613</f>
        <v>598.09620082554125</v>
      </c>
      <c r="P62" s="34"/>
      <c r="Q62" s="40">
        <f>Q16/0.35613</f>
        <v>513.85729930081709</v>
      </c>
      <c r="R62" s="34"/>
      <c r="S62" s="40">
        <f>S16/0.35613</f>
        <v>1356.2463145480583</v>
      </c>
      <c r="T62" s="34"/>
      <c r="U62" s="40">
        <f>U16/0.35613</f>
        <v>269.56448487911717</v>
      </c>
      <c r="V62" s="10"/>
      <c r="W62" s="10"/>
      <c r="X62" s="10"/>
      <c r="Y62" s="10"/>
    </row>
    <row r="63" spans="1:25" s="1" customFormat="1" ht="11.25" customHeight="1">
      <c r="A63" s="22" t="s">
        <v>27</v>
      </c>
      <c r="B63" s="10"/>
      <c r="C63" s="40">
        <f>C17/0.37677</f>
        <v>2293.1762082968389</v>
      </c>
      <c r="D63" s="34"/>
      <c r="E63" s="40">
        <f>E17/0.37677</f>
        <v>5937.3092337500329</v>
      </c>
      <c r="F63" s="34"/>
      <c r="G63" s="62">
        <v>-3</v>
      </c>
      <c r="H63" s="10"/>
      <c r="I63" s="35" t="s">
        <v>16</v>
      </c>
      <c r="J63" s="10"/>
      <c r="K63" s="35" t="s">
        <v>16</v>
      </c>
      <c r="L63" s="10"/>
      <c r="M63" s="62">
        <v>-3</v>
      </c>
      <c r="N63" s="34"/>
      <c r="O63" s="40">
        <f>O17/0.37677</f>
        <v>629.03097380364682</v>
      </c>
      <c r="P63" s="34"/>
      <c r="Q63" s="40">
        <f>Q17/0.37677</f>
        <v>464.47434774530882</v>
      </c>
      <c r="R63" s="34"/>
      <c r="S63" s="40">
        <f>S17/0.37677</f>
        <v>1149.2422432783926</v>
      </c>
      <c r="T63" s="34"/>
      <c r="U63" s="40">
        <f>U17/0.37677</f>
        <v>270.72219125726571</v>
      </c>
      <c r="V63" s="10"/>
      <c r="W63" s="10"/>
      <c r="X63" s="10"/>
      <c r="Y63" s="10"/>
    </row>
    <row r="64" spans="1:25" s="1" customFormat="1" ht="11.25" customHeight="1">
      <c r="A64" s="22" t="s">
        <v>28</v>
      </c>
      <c r="B64" s="10"/>
      <c r="C64" s="40">
        <f>C18/0.40083</f>
        <v>2492.328418531547</v>
      </c>
      <c r="D64" s="34"/>
      <c r="E64" s="40">
        <f>E18/0.40083</f>
        <v>6204.6254022902476</v>
      </c>
      <c r="F64" s="34"/>
      <c r="G64" s="62">
        <v>-3</v>
      </c>
      <c r="H64" s="10"/>
      <c r="I64" s="10"/>
      <c r="J64" s="10"/>
      <c r="K64" s="10"/>
      <c r="L64" s="10"/>
      <c r="M64" s="62">
        <v>-3</v>
      </c>
      <c r="N64" s="34"/>
      <c r="O64" s="40">
        <f>O18/0.40083</f>
        <v>623.70581044333005</v>
      </c>
      <c r="P64" s="34"/>
      <c r="Q64" s="40">
        <f>Q18/0.40083</f>
        <v>516.42841104707725</v>
      </c>
      <c r="R64" s="34"/>
      <c r="S64" s="40">
        <f>S18/0.40083</f>
        <v>1145.123867973954</v>
      </c>
      <c r="T64" s="34"/>
      <c r="U64" s="40">
        <f>U18/0.40083</f>
        <v>291.89431928747848</v>
      </c>
      <c r="V64" s="10"/>
      <c r="W64" s="10"/>
      <c r="X64" s="10"/>
      <c r="Y64" s="10"/>
    </row>
    <row r="65" spans="1:25" s="1" customFormat="1" ht="11.25" customHeight="1">
      <c r="A65" s="22" t="s">
        <v>29</v>
      </c>
      <c r="B65" s="10"/>
      <c r="C65" s="40">
        <f>C19/0.43007</f>
        <v>2485.641872253354</v>
      </c>
      <c r="D65" s="34"/>
      <c r="E65" s="40">
        <f>E19/0.43007</f>
        <v>5910.6657055828118</v>
      </c>
      <c r="F65" s="34"/>
      <c r="G65" s="62">
        <v>-3</v>
      </c>
      <c r="H65" s="10"/>
      <c r="I65" s="35" t="s">
        <v>16</v>
      </c>
      <c r="J65" s="10"/>
      <c r="K65" s="35" t="s">
        <v>16</v>
      </c>
      <c r="L65" s="10"/>
      <c r="M65" s="62">
        <v>-3</v>
      </c>
      <c r="N65" s="34"/>
      <c r="O65" s="40">
        <f>O19/0.43007</f>
        <v>632.45518171460458</v>
      </c>
      <c r="P65" s="34"/>
      <c r="Q65" s="40">
        <f>Q19/0.43007</f>
        <v>539.44706675657449</v>
      </c>
      <c r="R65" s="34"/>
      <c r="S65" s="40">
        <f>S19/0.43007</f>
        <v>1325.3656381519288</v>
      </c>
      <c r="T65" s="34"/>
      <c r="U65" s="40">
        <f>U19/0.43007</f>
        <v>283.67475062199179</v>
      </c>
      <c r="V65" s="10"/>
      <c r="W65" s="10"/>
      <c r="X65" s="10"/>
      <c r="Y65" s="10"/>
    </row>
    <row r="66" spans="1:25" s="1" customFormat="1" ht="11.25" customHeight="1">
      <c r="A66" s="22" t="s">
        <v>30</v>
      </c>
      <c r="B66" s="10"/>
      <c r="C66" s="40">
        <f>C20/0.46748</f>
        <v>2579.7895097116452</v>
      </c>
      <c r="D66" s="34"/>
      <c r="E66" s="40">
        <f>E20/0.46748</f>
        <v>5523.2309403610852</v>
      </c>
      <c r="F66" s="34"/>
      <c r="G66" s="62">
        <v>-3</v>
      </c>
      <c r="H66" s="10"/>
      <c r="I66" s="32" t="s">
        <v>15</v>
      </c>
      <c r="J66" s="10"/>
      <c r="K66" s="33" t="s">
        <v>16</v>
      </c>
      <c r="L66" s="10"/>
      <c r="M66" s="62">
        <v>-3</v>
      </c>
      <c r="N66" s="34"/>
      <c r="O66" s="40">
        <f>O20/0.46748</f>
        <v>652.43432874133657</v>
      </c>
      <c r="P66" s="34"/>
      <c r="Q66" s="40">
        <f>Q20/0.46748</f>
        <v>532.6431077265338</v>
      </c>
      <c r="R66" s="34"/>
      <c r="S66" s="40">
        <f>S20/0.46748</f>
        <v>1330.5382048429879</v>
      </c>
      <c r="T66" s="34"/>
      <c r="U66" s="40">
        <f>U20/0.46748</f>
        <v>275.94763412338494</v>
      </c>
      <c r="V66" s="10"/>
      <c r="W66" s="10"/>
      <c r="X66" s="10"/>
      <c r="Y66" s="10"/>
    </row>
    <row r="67" spans="1:25" s="1" customFormat="1" ht="11.25" customHeight="1">
      <c r="A67" s="22" t="s">
        <v>31</v>
      </c>
      <c r="B67" s="10"/>
      <c r="C67" s="40">
        <f>C21/0.50773</f>
        <v>2814.7637523880803</v>
      </c>
      <c r="D67" s="34"/>
      <c r="E67" s="40">
        <f>E21/0.50773</f>
        <v>5690.8987060051604</v>
      </c>
      <c r="F67" s="34"/>
      <c r="G67" s="62">
        <v>-3</v>
      </c>
      <c r="H67" s="10"/>
      <c r="I67" s="35" t="s">
        <v>16</v>
      </c>
      <c r="J67" s="10"/>
      <c r="K67" s="35" t="s">
        <v>16</v>
      </c>
      <c r="L67" s="10"/>
      <c r="M67" s="62">
        <v>-3</v>
      </c>
      <c r="N67" s="34"/>
      <c r="O67" s="40">
        <f>O21/0.50773</f>
        <v>686.66417190238906</v>
      </c>
      <c r="P67" s="34"/>
      <c r="Q67" s="40">
        <f>Q21/0.50773</f>
        <v>548.71683768932314</v>
      </c>
      <c r="R67" s="34"/>
      <c r="S67" s="40">
        <f>S21/0.50773</f>
        <v>1396.0766549150139</v>
      </c>
      <c r="T67" s="34"/>
      <c r="U67" s="40">
        <f>U21/0.50773</f>
        <v>277.11578988832645</v>
      </c>
      <c r="V67" s="10"/>
      <c r="W67" s="10"/>
      <c r="X67" s="10"/>
      <c r="Y67" s="10"/>
    </row>
    <row r="68" spans="1:25" s="1" customFormat="1" ht="11.25" customHeight="1">
      <c r="A68" s="22" t="s">
        <v>32</v>
      </c>
      <c r="B68" s="10"/>
      <c r="C68" s="40">
        <f>C22/0.54886</f>
        <v>2832.4527201836531</v>
      </c>
      <c r="E68" s="40">
        <f>E22/0.54886</f>
        <v>5487.0640964909089</v>
      </c>
      <c r="F68" s="34"/>
      <c r="G68" s="62">
        <v>-3</v>
      </c>
      <c r="H68" s="10"/>
      <c r="I68" s="35" t="s">
        <v>16</v>
      </c>
      <c r="J68" s="10"/>
      <c r="K68" s="35" t="s">
        <v>16</v>
      </c>
      <c r="L68" s="10"/>
      <c r="M68" s="62">
        <v>-3</v>
      </c>
      <c r="N68" s="34"/>
      <c r="O68" s="40">
        <f>O22/0.54886</f>
        <v>709.19724519914007</v>
      </c>
      <c r="P68" s="34"/>
      <c r="Q68" s="40">
        <f>Q22/0.54886</f>
        <v>580.74918922858285</v>
      </c>
      <c r="R68" s="34"/>
      <c r="S68" s="40">
        <f>S22/0.54886</f>
        <v>1037.4412418467368</v>
      </c>
      <c r="T68" s="34"/>
      <c r="U68" s="40">
        <f>U22/0.54886</f>
        <v>269.26720839558357</v>
      </c>
      <c r="V68" s="10"/>
      <c r="W68" s="10"/>
      <c r="X68" s="10"/>
      <c r="Y68" s="10"/>
    </row>
    <row r="69" spans="1:25" s="1" customFormat="1" ht="11.25" customHeight="1">
      <c r="A69" s="22" t="s">
        <v>33</v>
      </c>
      <c r="B69" s="10"/>
      <c r="C69" s="40">
        <f>C23/0.58783</f>
        <v>2997.4652535597029</v>
      </c>
      <c r="D69" s="34"/>
      <c r="E69" s="40">
        <f>E23/0.58783</f>
        <v>5523.7058333191571</v>
      </c>
      <c r="F69" s="34"/>
      <c r="G69" s="62">
        <v>-3</v>
      </c>
      <c r="H69" s="10"/>
      <c r="I69" s="35" t="s">
        <v>16</v>
      </c>
      <c r="J69" s="10"/>
      <c r="K69" s="35" t="s">
        <v>16</v>
      </c>
      <c r="L69" s="10"/>
      <c r="M69" s="62">
        <v>-3</v>
      </c>
      <c r="N69" s="34"/>
      <c r="O69" s="40">
        <f>O23/0.58783</f>
        <v>709.3887688617458</v>
      </c>
      <c r="P69" s="34"/>
      <c r="Q69" s="40">
        <f>Q23/0.58783</f>
        <v>641.34188455846083</v>
      </c>
      <c r="R69" s="34"/>
      <c r="S69" s="40">
        <f>S23/0.58783</f>
        <v>1342.224792882296</v>
      </c>
      <c r="T69" s="34"/>
      <c r="U69" s="40">
        <f>U23/0.58783</f>
        <v>273.888709320722</v>
      </c>
      <c r="V69" s="10"/>
      <c r="W69" s="10"/>
      <c r="X69" s="10"/>
      <c r="Y69" s="10"/>
    </row>
    <row r="70" spans="1:25" s="1" customFormat="1" ht="11.25" customHeight="1">
      <c r="A70" s="22" t="s">
        <v>34</v>
      </c>
      <c r="B70" s="10"/>
      <c r="C70" s="40">
        <f>C24/0.62276</f>
        <v>2911.2338621619888</v>
      </c>
      <c r="D70" s="34"/>
      <c r="E70" s="40">
        <f>E24/0.62276</f>
        <v>5448.3268032628948</v>
      </c>
      <c r="F70" s="34"/>
      <c r="G70" s="62">
        <v>-3</v>
      </c>
      <c r="H70" s="10"/>
      <c r="I70" s="35" t="s">
        <v>16</v>
      </c>
      <c r="J70" s="10"/>
      <c r="K70" s="35" t="s">
        <v>16</v>
      </c>
      <c r="L70" s="10"/>
      <c r="M70" s="62">
        <v>-3</v>
      </c>
      <c r="N70" s="34"/>
      <c r="O70" s="40">
        <f>O24/0.62276</f>
        <v>679.23437600359694</v>
      </c>
      <c r="P70" s="34"/>
      <c r="Q70" s="40">
        <f>Q24/0.62276</f>
        <v>650.3307855353587</v>
      </c>
      <c r="R70" s="34"/>
      <c r="S70" s="40">
        <f>S24/0.62276</f>
        <v>1228.402594900122</v>
      </c>
      <c r="T70" s="34"/>
      <c r="U70" s="40">
        <f>U24/0.62276</f>
        <v>272.97835442224937</v>
      </c>
      <c r="V70" s="10"/>
      <c r="W70" s="10"/>
      <c r="X70" s="10"/>
      <c r="Y70" s="10"/>
    </row>
    <row r="71" spans="1:25" s="1" customFormat="1" ht="11.25" customHeight="1">
      <c r="A71" s="22" t="s">
        <v>35</v>
      </c>
      <c r="B71" s="10"/>
      <c r="C71" s="40">
        <f>C25/0.64868</f>
        <v>2760.9915520749828</v>
      </c>
      <c r="D71" s="34"/>
      <c r="E71" s="40">
        <f>E25/0.64868</f>
        <v>5318.4929395079234</v>
      </c>
      <c r="F71" s="34"/>
      <c r="G71" s="62">
        <v>-3</v>
      </c>
      <c r="H71" s="10"/>
      <c r="I71" s="35" t="s">
        <v>16</v>
      </c>
      <c r="J71" s="10"/>
      <c r="K71" s="35" t="s">
        <v>16</v>
      </c>
      <c r="L71" s="10"/>
      <c r="M71" s="62">
        <v>-3</v>
      </c>
      <c r="N71" s="34"/>
      <c r="O71" s="40">
        <f>O25/0.64868</f>
        <v>647.46870567922542</v>
      </c>
      <c r="P71" s="34"/>
      <c r="Q71" s="40">
        <f>Q25/0.64868</f>
        <v>622.80323117715977</v>
      </c>
      <c r="R71" s="34"/>
      <c r="S71" s="40">
        <f>S25/0.64868</f>
        <v>975.82783498797551</v>
      </c>
      <c r="T71" s="34"/>
      <c r="U71" s="40">
        <f>U25/0.64868</f>
        <v>275.94499599186037</v>
      </c>
      <c r="V71" s="34"/>
      <c r="W71" s="10"/>
      <c r="X71" s="10"/>
      <c r="Y71" s="10"/>
    </row>
    <row r="72" spans="1:25" s="1" customFormat="1" ht="11.25" customHeight="1">
      <c r="A72" s="22">
        <v>1995</v>
      </c>
      <c r="B72" s="10"/>
      <c r="C72" s="40">
        <f>C26/0.67367</f>
        <v>2637.7900158831476</v>
      </c>
      <c r="D72" s="34"/>
      <c r="E72" s="40">
        <f>E26/0.67367</f>
        <v>5137.5302447786007</v>
      </c>
      <c r="F72" s="34"/>
      <c r="G72" s="62">
        <v>-3</v>
      </c>
      <c r="H72" s="10"/>
      <c r="I72" s="35" t="s">
        <v>16</v>
      </c>
      <c r="J72" s="10"/>
      <c r="K72" s="35" t="s">
        <v>16</v>
      </c>
      <c r="L72" s="10"/>
      <c r="M72" s="62">
        <v>-3</v>
      </c>
      <c r="N72" s="34"/>
      <c r="O72" s="40">
        <f>O26/0.67367</f>
        <v>629.38827615895025</v>
      </c>
      <c r="P72" s="34"/>
      <c r="Q72" s="40">
        <f>Q26/0.67367</f>
        <v>598.21574361334183</v>
      </c>
      <c r="R72" s="34"/>
      <c r="S72" s="40">
        <f>S26/0.67367</f>
        <v>843.14278504312199</v>
      </c>
      <c r="T72" s="34"/>
      <c r="U72" s="40">
        <f>U26/0.67367</f>
        <v>280.55279291047543</v>
      </c>
      <c r="V72" s="34"/>
      <c r="W72" s="10"/>
      <c r="X72" s="10"/>
      <c r="Y72" s="10"/>
    </row>
    <row r="73" spans="1:25" s="1" customFormat="1" ht="11.25" customHeight="1">
      <c r="A73" s="19">
        <v>1996</v>
      </c>
      <c r="B73" s="10"/>
      <c r="C73" s="40">
        <f>C27/0.69111</f>
        <v>2491.6438772409601</v>
      </c>
      <c r="D73" s="34"/>
      <c r="E73" s="40">
        <f>E27/0.69111</f>
        <v>5000.6511264487563</v>
      </c>
      <c r="F73" s="34"/>
      <c r="G73" s="62">
        <v>-3</v>
      </c>
      <c r="H73" s="10"/>
      <c r="I73" s="35" t="s">
        <v>16</v>
      </c>
      <c r="J73" s="10"/>
      <c r="K73" s="35" t="s">
        <v>16</v>
      </c>
      <c r="L73" s="10"/>
      <c r="M73" s="62">
        <v>-3</v>
      </c>
      <c r="N73" s="34"/>
      <c r="O73" s="40">
        <f>O27/0.69111</f>
        <v>620.74054781438554</v>
      </c>
      <c r="P73" s="34"/>
      <c r="Q73" s="40">
        <f>Q27/0.69111</f>
        <v>575.88517023339261</v>
      </c>
      <c r="R73" s="34"/>
      <c r="S73" s="40">
        <f>S27/0.69111</f>
        <v>781.35173850761817</v>
      </c>
      <c r="T73" s="34"/>
      <c r="U73" s="40">
        <f>U27/0.69111</f>
        <v>285.04868978889033</v>
      </c>
      <c r="V73" s="34"/>
      <c r="W73" s="10"/>
      <c r="X73" s="10"/>
      <c r="Y73" s="10"/>
    </row>
    <row r="74" spans="1:25" s="1" customFormat="1" ht="11.25" customHeight="1">
      <c r="A74" s="19">
        <v>1997</v>
      </c>
      <c r="B74" s="10"/>
      <c r="C74" s="40">
        <f>C28/0.70611</f>
        <v>2562.070717637715</v>
      </c>
      <c r="D74" s="34"/>
      <c r="E74" s="40">
        <f>E28/0.70611</f>
        <v>5174.8311169647786</v>
      </c>
      <c r="F74" s="34"/>
      <c r="G74" s="62">
        <v>-3</v>
      </c>
      <c r="H74" s="10"/>
      <c r="I74" s="35" t="s">
        <v>16</v>
      </c>
      <c r="J74" s="10"/>
      <c r="K74" s="35" t="s">
        <v>16</v>
      </c>
      <c r="L74" s="10"/>
      <c r="M74" s="62">
        <v>-3</v>
      </c>
      <c r="N74" s="34"/>
      <c r="O74" s="40">
        <f>O28/0.70611</f>
        <v>691.11045021313953</v>
      </c>
      <c r="P74" s="34"/>
      <c r="Q74" s="40">
        <f>Q28/0.70611</f>
        <v>601.88922405857443</v>
      </c>
      <c r="R74" s="34"/>
      <c r="S74" s="40">
        <f>S28/0.70611</f>
        <v>841.22870374304284</v>
      </c>
      <c r="T74" s="34"/>
      <c r="U74" s="40">
        <f>U28/0.70611</f>
        <v>320.06344620526545</v>
      </c>
      <c r="V74" s="34"/>
      <c r="W74" s="10"/>
      <c r="X74" s="10"/>
      <c r="Y74" s="10"/>
    </row>
    <row r="75" spans="1:25" s="1" customFormat="1" ht="11.25" customHeight="1">
      <c r="A75" s="19">
        <v>1998</v>
      </c>
      <c r="B75" s="10"/>
      <c r="C75" s="40">
        <f>C29/0.71835</f>
        <v>2620.8630819952205</v>
      </c>
      <c r="D75" s="34"/>
      <c r="E75" s="40">
        <f>E29/0.71835</f>
        <v>5153.0214028430173</v>
      </c>
      <c r="F75" s="34"/>
      <c r="G75" s="62">
        <v>-3</v>
      </c>
      <c r="H75" s="10"/>
      <c r="I75" s="35" t="s">
        <v>16</v>
      </c>
      <c r="J75" s="10"/>
      <c r="K75" s="35" t="s">
        <v>16</v>
      </c>
      <c r="L75" s="10"/>
      <c r="M75" s="62">
        <v>-3</v>
      </c>
      <c r="N75" s="34"/>
      <c r="O75" s="40">
        <f>O29/0.71835</f>
        <v>636.6451693962307</v>
      </c>
      <c r="P75" s="34"/>
      <c r="Q75" s="40">
        <f>Q29/0.71835</f>
        <v>614.77147980099539</v>
      </c>
      <c r="R75" s="34"/>
      <c r="S75" s="40">
        <f>S29/0.71835</f>
        <v>708.34150253168843</v>
      </c>
      <c r="T75" s="34"/>
      <c r="U75" s="40">
        <f>U29/0.71835</f>
        <v>363.27364429730142</v>
      </c>
      <c r="V75" s="34"/>
      <c r="W75" s="10"/>
      <c r="X75" s="10"/>
      <c r="Y75" s="10"/>
    </row>
    <row r="76" spans="1:25" s="43" customFormat="1" ht="11.25" customHeight="1">
      <c r="A76" s="19">
        <v>1999</v>
      </c>
      <c r="B76" s="10"/>
      <c r="C76" s="41">
        <f>C30/0.734</f>
        <v>2866.2339825607178</v>
      </c>
      <c r="D76" s="42"/>
      <c r="E76" s="41">
        <f>E30/0.734</f>
        <v>5187.863695872612</v>
      </c>
      <c r="F76" s="34"/>
      <c r="G76" s="62">
        <v>-3</v>
      </c>
      <c r="H76" s="10"/>
      <c r="I76" s="35" t="s">
        <v>16</v>
      </c>
      <c r="J76" s="10"/>
      <c r="K76" s="35" t="s">
        <v>16</v>
      </c>
      <c r="L76" s="10"/>
      <c r="M76" s="62">
        <v>-3</v>
      </c>
      <c r="N76" s="34"/>
      <c r="O76" s="41">
        <f>O30/0.734</f>
        <v>692.45360368485126</v>
      </c>
      <c r="P76" s="42"/>
      <c r="Q76" s="41">
        <f>Q30/0.734</f>
        <v>666.39239336878904</v>
      </c>
      <c r="R76" s="42"/>
      <c r="S76" s="41">
        <f>S30/0.734</f>
        <v>978.26770267452605</v>
      </c>
      <c r="T76" s="42"/>
      <c r="U76" s="41">
        <f>U30/0.734</f>
        <v>457.00756024468319</v>
      </c>
      <c r="V76" s="42"/>
      <c r="W76" s="20"/>
      <c r="X76" s="20"/>
      <c r="Y76" s="20"/>
    </row>
    <row r="77" spans="1:25" s="43" customFormat="1" ht="11.25" customHeight="1">
      <c r="A77" s="19">
        <v>2000</v>
      </c>
      <c r="B77" s="20"/>
      <c r="C77" s="41">
        <f>C31/0.75297</f>
        <v>2696.1488807730784</v>
      </c>
      <c r="D77" s="42"/>
      <c r="E77" s="41">
        <f>E31/0.75297</f>
        <v>4992.7225609614979</v>
      </c>
      <c r="F77" s="42"/>
      <c r="G77" s="62">
        <v>-3</v>
      </c>
      <c r="H77" s="20"/>
      <c r="I77" s="44" t="s">
        <v>16</v>
      </c>
      <c r="J77" s="20"/>
      <c r="K77" s="44" t="s">
        <v>16</v>
      </c>
      <c r="L77" s="20"/>
      <c r="M77" s="62">
        <v>-3</v>
      </c>
      <c r="N77" s="42"/>
      <c r="O77" s="41">
        <f>O31/0.75297</f>
        <v>629.55377299675445</v>
      </c>
      <c r="P77" s="42"/>
      <c r="Q77" s="41">
        <f>Q31/0.75297</f>
        <v>685.93441128195673</v>
      </c>
      <c r="R77" s="42"/>
      <c r="S77" s="41">
        <f>S31/0.75297</f>
        <v>851.93952853647158</v>
      </c>
      <c r="T77" s="42"/>
      <c r="U77" s="41">
        <f>U31/0.75297</f>
        <v>484.07483347266299</v>
      </c>
      <c r="V77" s="42"/>
      <c r="W77" s="20"/>
      <c r="X77" s="20"/>
      <c r="Y77" s="20"/>
    </row>
    <row r="78" spans="1:25" s="43" customFormat="1" ht="11.25" customHeight="1">
      <c r="A78" s="19">
        <v>2001</v>
      </c>
      <c r="B78" s="20"/>
      <c r="C78" s="41">
        <f>C32/0.77833</f>
        <v>2655.6207598565124</v>
      </c>
      <c r="D78" s="42"/>
      <c r="E78" s="41">
        <f>E32/0.77833</f>
        <v>5086.5299916147169</v>
      </c>
      <c r="F78" s="42"/>
      <c r="G78" s="62">
        <v>-3</v>
      </c>
      <c r="H78" s="20"/>
      <c r="I78" s="44"/>
      <c r="J78" s="20"/>
      <c r="K78" s="44"/>
      <c r="L78" s="20"/>
      <c r="M78" s="62">
        <v>-3</v>
      </c>
      <c r="N78" s="42"/>
      <c r="O78" s="41">
        <f>O32/0.77833</f>
        <v>612.99294448636624</v>
      </c>
      <c r="P78" s="42"/>
      <c r="Q78" s="41">
        <f>Q32/0.77833</f>
        <v>700.44140243503193</v>
      </c>
      <c r="R78" s="42"/>
      <c r="S78" s="41">
        <f>S32/0.77833</f>
        <v>1027.7728636189527</v>
      </c>
      <c r="T78" s="42"/>
      <c r="U78" s="41">
        <f>U32/0.77833</f>
        <v>528.34386044442874</v>
      </c>
      <c r="V78" s="42"/>
      <c r="W78" s="20"/>
      <c r="X78" s="20"/>
      <c r="Y78" s="20"/>
    </row>
    <row r="79" spans="1:25" s="43" customFormat="1" ht="11.25" customHeight="1">
      <c r="A79" s="19">
        <v>2002</v>
      </c>
      <c r="B79" s="20"/>
      <c r="C79" s="41">
        <f>C33/0.79902</f>
        <v>2628.1519524087075</v>
      </c>
      <c r="D79" s="42"/>
      <c r="E79" s="41">
        <f>E33/0.79902</f>
        <v>5325.4559440890098</v>
      </c>
      <c r="F79" s="42"/>
      <c r="G79" s="62">
        <v>-3</v>
      </c>
      <c r="H79" s="20"/>
      <c r="I79" s="44"/>
      <c r="J79" s="20"/>
      <c r="K79" s="44"/>
      <c r="L79" s="20"/>
      <c r="M79" s="62">
        <v>-3</v>
      </c>
      <c r="N79" s="42"/>
      <c r="O79" s="41">
        <f>O33/0.79902</f>
        <v>572.50463344856894</v>
      </c>
      <c r="P79" s="42"/>
      <c r="Q79" s="41">
        <f>Q33/0.79902</f>
        <v>715.3427982450761</v>
      </c>
      <c r="R79" s="42"/>
      <c r="S79" s="41">
        <f>S33/0.79902</f>
        <v>784.24502573434177</v>
      </c>
      <c r="T79" s="42"/>
      <c r="U79" s="41">
        <f>U33/0.79902</f>
        <v>567.40741236709653</v>
      </c>
      <c r="V79" s="42"/>
      <c r="W79" s="20"/>
      <c r="X79" s="20"/>
      <c r="Y79" s="20"/>
    </row>
    <row r="80" spans="1:25" s="43" customFormat="1" ht="11.25" customHeight="1">
      <c r="A80" s="19">
        <v>2003</v>
      </c>
      <c r="B80" s="20"/>
      <c r="C80" s="41">
        <f>C34/0.82739</f>
        <v>2770.5305548799165</v>
      </c>
      <c r="D80" s="42"/>
      <c r="E80" s="41">
        <f>E34/0.82739</f>
        <v>5247.9972284098594</v>
      </c>
      <c r="F80" s="42"/>
      <c r="G80" s="62">
        <v>-3</v>
      </c>
      <c r="H80" s="20"/>
      <c r="I80" s="44"/>
      <c r="J80" s="20"/>
      <c r="K80" s="44"/>
      <c r="L80" s="20"/>
      <c r="M80" s="62">
        <v>-3</v>
      </c>
      <c r="N80" s="42"/>
      <c r="O80" s="41">
        <f>O34/0.82739</f>
        <v>618.5503561881527</v>
      </c>
      <c r="P80" s="42"/>
      <c r="Q80" s="41">
        <f>Q34/0.82739</f>
        <v>746.88506679116881</v>
      </c>
      <c r="R80" s="42"/>
      <c r="S80" s="41">
        <f>S34/0.82739</f>
        <v>702.73693671799583</v>
      </c>
      <c r="T80" s="42"/>
      <c r="U80" s="41">
        <f>U34/0.82739</f>
        <v>674.60792781716134</v>
      </c>
      <c r="V80" s="42"/>
      <c r="W80" s="20"/>
      <c r="X80" s="20"/>
      <c r="Y80" s="20"/>
    </row>
    <row r="81" spans="1:25" s="43" customFormat="1" ht="11.25" customHeight="1">
      <c r="A81" s="19">
        <v>2004</v>
      </c>
      <c r="B81" s="20"/>
      <c r="C81" s="41">
        <f>C35/0.85951</f>
        <v>2919.0328981616831</v>
      </c>
      <c r="D81" s="42"/>
      <c r="E81" s="41">
        <f>E35/0.85951</f>
        <v>5141.9538977993925</v>
      </c>
      <c r="F81" s="42"/>
      <c r="G81" s="62">
        <v>-3</v>
      </c>
      <c r="H81" s="20"/>
      <c r="I81" s="44"/>
      <c r="J81" s="20"/>
      <c r="K81" s="44"/>
      <c r="L81" s="20"/>
      <c r="M81" s="62">
        <v>-3</v>
      </c>
      <c r="N81" s="42"/>
      <c r="O81" s="41">
        <f>O35/0.85951</f>
        <v>629.62566762814117</v>
      </c>
      <c r="P81" s="42"/>
      <c r="Q81" s="41">
        <f>Q35/0.85951</f>
        <v>791.83383796955786</v>
      </c>
      <c r="R81" s="42"/>
      <c r="S81" s="41">
        <f>S35/0.85951</f>
        <v>751.1702619236703</v>
      </c>
      <c r="T81" s="42"/>
      <c r="U81" s="41">
        <f>U35/0.85951</f>
        <v>729.36991976688569</v>
      </c>
      <c r="V81" s="42"/>
      <c r="W81" s="20"/>
      <c r="X81" s="20"/>
      <c r="Y81" s="20"/>
    </row>
    <row r="82" spans="1:25" s="43" customFormat="1" ht="11.25" customHeight="1">
      <c r="A82" s="60">
        <v>2005</v>
      </c>
      <c r="B82" s="20"/>
      <c r="C82" s="41">
        <f>C36/0.88631</f>
        <v>2916.8222447263665</v>
      </c>
      <c r="D82" s="42"/>
      <c r="E82" s="41">
        <f>E36/0.88631</f>
        <v>4911.9877911302065</v>
      </c>
      <c r="F82" s="42"/>
      <c r="G82" s="62">
        <v>-3</v>
      </c>
      <c r="H82" s="20"/>
      <c r="I82" s="44"/>
      <c r="J82" s="20"/>
      <c r="K82" s="44"/>
      <c r="L82" s="20"/>
      <c r="M82" s="62">
        <v>-3</v>
      </c>
      <c r="N82" s="42"/>
      <c r="O82" s="41">
        <f>O36/0.88631</f>
        <v>697.74308197258222</v>
      </c>
      <c r="P82" s="42"/>
      <c r="Q82" s="41">
        <f>Q36/0.88631</f>
        <v>737.45917232145064</v>
      </c>
      <c r="R82" s="42"/>
      <c r="S82" s="41">
        <f>S36/0.88631</f>
        <v>679.5032227718342</v>
      </c>
      <c r="T82" s="42"/>
      <c r="U82" s="41">
        <f>U36/0.88631</f>
        <v>708.53518149794456</v>
      </c>
      <c r="V82" s="42"/>
      <c r="W82" s="20"/>
      <c r="X82" s="20"/>
      <c r="Y82" s="20"/>
    </row>
    <row r="83" spans="1:25" s="43" customFormat="1" ht="11.25" customHeight="1">
      <c r="A83" s="60">
        <v>2006</v>
      </c>
      <c r="B83" s="20"/>
      <c r="C83" s="41">
        <f>C37/0.91444</f>
        <v>2861.5665001024563</v>
      </c>
      <c r="D83" s="42"/>
      <c r="E83" s="41">
        <f>E37/0.91444</f>
        <v>4264.5435299648689</v>
      </c>
      <c r="F83" s="42"/>
      <c r="G83" s="62">
        <v>-3</v>
      </c>
      <c r="H83" s="20"/>
      <c r="I83" s="44"/>
      <c r="J83" s="20"/>
      <c r="K83" s="44"/>
      <c r="L83" s="20"/>
      <c r="M83" s="62">
        <v>-3</v>
      </c>
      <c r="N83" s="42"/>
      <c r="O83" s="41">
        <f>O37/0.91444</f>
        <v>616.77911167126729</v>
      </c>
      <c r="P83" s="42"/>
      <c r="Q83" s="41">
        <f>Q37/0.91444</f>
        <v>732.67335592045822</v>
      </c>
      <c r="R83" s="42"/>
      <c r="S83" s="41">
        <f>S37/0.91444</f>
        <v>727.9572384941871</v>
      </c>
      <c r="T83" s="42"/>
      <c r="U83" s="41">
        <f>U37/0.91444</f>
        <v>626.4315375669828</v>
      </c>
      <c r="V83" s="42"/>
      <c r="W83" s="20"/>
      <c r="X83" s="20"/>
      <c r="Y83" s="20"/>
    </row>
    <row r="84" spans="1:25" s="43" customFormat="1" ht="11.25" customHeight="1">
      <c r="A84" s="60">
        <v>2007</v>
      </c>
      <c r="B84" s="20"/>
      <c r="C84" s="41">
        <f>C38/0.94622</f>
        <v>2909.5809853851938</v>
      </c>
      <c r="D84" s="42"/>
      <c r="E84" s="41">
        <f>E38/0.94622</f>
        <v>4974.0972692484074</v>
      </c>
      <c r="F84" s="42"/>
      <c r="G84" s="63">
        <v>-3</v>
      </c>
      <c r="H84" s="20"/>
      <c r="I84" s="44"/>
      <c r="J84" s="20"/>
      <c r="K84" s="44"/>
      <c r="L84" s="20"/>
      <c r="M84" s="63">
        <v>-3</v>
      </c>
      <c r="N84" s="42"/>
      <c r="O84" s="41">
        <f>O38/0.94622</f>
        <v>570.00363503907488</v>
      </c>
      <c r="P84" s="42"/>
      <c r="Q84" s="41">
        <f>Q38/0.94622</f>
        <v>762.48954956516013</v>
      </c>
      <c r="R84" s="42"/>
      <c r="S84" s="41">
        <f>S38/0.94622</f>
        <v>677.45049547924953</v>
      </c>
      <c r="T84" s="42"/>
      <c r="U84" s="41">
        <f>U38/0.94622</f>
        <v>625.40342608753531</v>
      </c>
      <c r="V84" s="42"/>
      <c r="W84" s="20"/>
      <c r="X84" s="20"/>
      <c r="Y84" s="20"/>
    </row>
    <row r="85" spans="1:25" s="43" customFormat="1" ht="11.25" customHeight="1">
      <c r="A85" s="60">
        <v>2008</v>
      </c>
      <c r="B85" s="20"/>
      <c r="C85" s="41">
        <f>C39/0.97546</f>
        <v>2984.9194361403347</v>
      </c>
      <c r="D85" s="42"/>
      <c r="E85" s="41">
        <f>E39/0.97546</f>
        <v>4828.1909434892241</v>
      </c>
      <c r="F85" s="42"/>
      <c r="G85" s="63">
        <v>-3</v>
      </c>
      <c r="H85" s="20"/>
      <c r="I85" s="44"/>
      <c r="J85" s="20"/>
      <c r="K85" s="44"/>
      <c r="L85" s="20"/>
      <c r="M85" s="63">
        <v>-3</v>
      </c>
      <c r="N85" s="42"/>
      <c r="O85" s="41">
        <f>O39/0.97546</f>
        <v>582.38822603824894</v>
      </c>
      <c r="P85" s="42"/>
      <c r="Q85" s="41">
        <f>Q39/0.97546</f>
        <v>773.52299142988136</v>
      </c>
      <c r="R85" s="42"/>
      <c r="S85" s="41">
        <f>S39/0.97546</f>
        <v>672.07049841144817</v>
      </c>
      <c r="T85" s="42"/>
      <c r="U85" s="41">
        <f>U39/0.97546</f>
        <v>627.35166308693044</v>
      </c>
      <c r="V85" s="42"/>
      <c r="W85" s="20"/>
      <c r="X85" s="20"/>
      <c r="Y85" s="20"/>
    </row>
    <row r="86" spans="1:25" s="43" customFormat="1" ht="11.25" customHeight="1">
      <c r="A86" s="56">
        <v>2009</v>
      </c>
      <c r="B86" s="25"/>
      <c r="C86" s="45">
        <f>C40/1</f>
        <v>3144.0978813880192</v>
      </c>
      <c r="D86" s="46"/>
      <c r="E86" s="45">
        <f>E40/1</f>
        <v>4985.1754903227375</v>
      </c>
      <c r="F86" s="46"/>
      <c r="G86" s="64">
        <v>-3</v>
      </c>
      <c r="H86" s="25"/>
      <c r="I86" s="47"/>
      <c r="J86" s="25"/>
      <c r="K86" s="47"/>
      <c r="L86" s="25"/>
      <c r="M86" s="64">
        <v>-3</v>
      </c>
      <c r="N86" s="46"/>
      <c r="O86" s="45">
        <f>O40/1</f>
        <v>558.02745255169805</v>
      </c>
      <c r="P86" s="46"/>
      <c r="Q86" s="45">
        <f>Q40/1</f>
        <v>791.30181028469144</v>
      </c>
      <c r="R86" s="46"/>
      <c r="S86" s="45">
        <f>S40/1</f>
        <v>731.34581324094063</v>
      </c>
      <c r="T86" s="46"/>
      <c r="U86" s="45">
        <f>U40/1</f>
        <v>666.248897511476</v>
      </c>
      <c r="V86" s="46"/>
      <c r="W86" s="20"/>
      <c r="X86" s="20"/>
      <c r="Y86" s="20"/>
    </row>
    <row r="87" spans="1:25" s="4" customFormat="1" ht="9.6" customHeight="1">
      <c r="A87" s="11" t="s">
        <v>44</v>
      </c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4"/>
    </row>
    <row r="88" spans="1:25" s="4" customFormat="1" ht="9" customHeight="1">
      <c r="A88" s="57" t="s">
        <v>45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4"/>
    </row>
    <row r="89" spans="1:25" s="5" customFormat="1" ht="9" customHeight="1">
      <c r="A89" s="11" t="s">
        <v>54</v>
      </c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</row>
    <row r="90" spans="1:25" s="5" customFormat="1" ht="9" customHeight="1">
      <c r="A90" s="58" t="s">
        <v>47</v>
      </c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</row>
    <row r="91" spans="1:25" s="5" customFormat="1" ht="9" customHeight="1">
      <c r="A91" s="61" t="s">
        <v>48</v>
      </c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s="5" customFormat="1" ht="9" customHeight="1">
      <c r="A92" s="61" t="s">
        <v>49</v>
      </c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</row>
    <row r="93" spans="1:25" s="4" customFormat="1" ht="9.6" customHeight="1">
      <c r="A93" s="13" t="s">
        <v>55</v>
      </c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</row>
    <row r="94" spans="1:25" s="4" customFormat="1" ht="9" customHeight="1">
      <c r="A94" s="58" t="s">
        <v>46</v>
      </c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</row>
    <row r="95" spans="1:25" s="4" customFormat="1" ht="6" customHeight="1">
      <c r="A95" s="15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</row>
    <row r="96" spans="1:25" ht="9" customHeight="1">
      <c r="A96" s="16" t="s">
        <v>56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</row>
    <row r="97" spans="1:25" ht="9" customHeight="1">
      <c r="A97" s="18" t="s">
        <v>57</v>
      </c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</row>
    <row r="98" spans="1:25" ht="9" customHeight="1">
      <c r="A98" s="18" t="s">
        <v>65</v>
      </c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</row>
    <row r="99" spans="1:25" ht="9.6" customHeight="1">
      <c r="A99" s="58" t="s">
        <v>58</v>
      </c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</row>
    <row r="100" spans="1:25" ht="9" customHeight="1">
      <c r="A100" s="58" t="s">
        <v>59</v>
      </c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</row>
    <row r="101" spans="1:25" ht="9" customHeight="1">
      <c r="A101" s="58" t="s">
        <v>60</v>
      </c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</row>
    <row r="102" spans="1:25" ht="9" customHeight="1">
      <c r="A102" s="58" t="s">
        <v>61</v>
      </c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</row>
    <row r="103" spans="1:25" ht="9" customHeight="1">
      <c r="A103" s="58" t="s">
        <v>62</v>
      </c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</row>
    <row r="104" spans="1:25" ht="6" customHeight="1">
      <c r="A104" s="17" t="s">
        <v>0</v>
      </c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</row>
    <row r="105" spans="1:25" s="59" customFormat="1" ht="9" customHeight="1">
      <c r="A105" s="17" t="s">
        <v>50</v>
      </c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</row>
    <row r="106" spans="1:25" s="59" customFormat="1" ht="9" customHeight="1">
      <c r="A106" s="18" t="s">
        <v>51</v>
      </c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</row>
    <row r="107" spans="1:25" ht="9" customHeight="1">
      <c r="A107" s="18" t="s">
        <v>66</v>
      </c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</row>
  </sheetData>
  <mergeCells count="6">
    <mergeCell ref="A47:V47"/>
    <mergeCell ref="A48:V48"/>
    <mergeCell ref="A1:V1"/>
    <mergeCell ref="A2:V2"/>
    <mergeCell ref="A3:V3"/>
    <mergeCell ref="A46:V46"/>
  </mergeCells>
  <phoneticPr fontId="2" type="noConversion"/>
  <printOptions gridLinesSet="0"/>
  <pageMargins left="0.8" right="0.8" top="1" bottom="0.5" header="0.5" footer="0.5"/>
  <pageSetup firstPageNumber="232" orientation="portrait" useFirstPageNumber="1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45" max="21" man="1"/>
  </rowBreaks>
  <ignoredErrors>
    <ignoredError sqref="P55:P79 V52:V53 P54 P52:P53 T54 R54 V54 R52:R53 D54 R55:R79 T52:T53 V55:V79 T55:T7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TABLE13.14</vt:lpstr>
      <vt:lpstr>TABLE13.14!Print_Area</vt:lpstr>
      <vt:lpstr>Print_Area</vt:lpstr>
      <vt:lpstr>TABLE13.14!Print_Area_MI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2012-06-06T14:33:56Z</cp:lastPrinted>
  <dcterms:created xsi:type="dcterms:W3CDTF">1999-10-08T13:43:12Z</dcterms:created>
  <dcterms:modified xsi:type="dcterms:W3CDTF">2012-06-06T14:41:13Z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1377722931</vt:i4>
  </property>
  <property fmtid="{D5CDD505-2E9C-101B-9397-08002B2CF9AE}" pid="3" name="_NewReviewCycle">
    <vt:lpwstr/>
  </property>
  <property fmtid="{D5CDD505-2E9C-101B-9397-08002B2CF9AE}" pid="4" name="_EmailSubject">
    <vt:lpwstr>2009 Medicaid Tables 13.11 - 13.20 (2011 Supp)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