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1"/>
  </bookViews>
  <sheets>
    <sheet name="TABLE13.14" sheetId="1" r:id="rId1"/>
  </sheets>
  <definedNames>
    <definedName name="_Regression_Int" localSheetId="0" hidden="1">1</definedName>
    <definedName name="_xlnm.Print_Area" localSheetId="0">TABLE13.14!$A$1:$V$108</definedName>
    <definedName name="_xlnm.Print_Area">TABLE13.14!$A$1:$U$97</definedName>
    <definedName name="Print_Area_MI" localSheetId="0">TABLE13.14!$A$1:$V$97</definedName>
  </definedNames>
  <calcPr calcId="145621"/>
</workbook>
</file>

<file path=xl/calcChain.xml><?xml version="1.0" encoding="utf-8"?>
<calcChain xmlns="http://schemas.openxmlformats.org/spreadsheetml/2006/main">
  <c r="U41" i="1" l="1"/>
  <c r="S41" i="1"/>
  <c r="Q41" i="1"/>
  <c r="O41" i="1"/>
  <c r="E41" i="1"/>
  <c r="C41" i="1"/>
  <c r="C87" i="1" l="1"/>
  <c r="U74" i="1"/>
  <c r="S74" i="1"/>
  <c r="Q74" i="1"/>
  <c r="O74" i="1"/>
  <c r="E74" i="1"/>
  <c r="U73" i="1"/>
  <c r="S73" i="1"/>
  <c r="Q73" i="1"/>
  <c r="O73" i="1"/>
  <c r="E73" i="1"/>
  <c r="C73" i="1"/>
  <c r="U72" i="1"/>
  <c r="S72" i="1"/>
  <c r="Q72" i="1"/>
  <c r="O72" i="1"/>
  <c r="E72" i="1"/>
  <c r="C72" i="1"/>
  <c r="U71" i="1"/>
  <c r="S71" i="1"/>
  <c r="Q71" i="1"/>
  <c r="O71" i="1"/>
  <c r="E71" i="1"/>
  <c r="C71" i="1"/>
  <c r="U70" i="1"/>
  <c r="S70" i="1"/>
  <c r="Q70" i="1"/>
  <c r="O70" i="1"/>
  <c r="E70" i="1"/>
  <c r="C70" i="1"/>
  <c r="U69" i="1"/>
  <c r="S69" i="1"/>
  <c r="Q69" i="1"/>
  <c r="O69" i="1"/>
  <c r="E69" i="1"/>
  <c r="C69" i="1"/>
  <c r="U68" i="1"/>
  <c r="S68" i="1"/>
  <c r="Q68" i="1"/>
  <c r="O68" i="1"/>
  <c r="E68" i="1"/>
  <c r="C68" i="1"/>
  <c r="U67" i="1"/>
  <c r="S67" i="1"/>
  <c r="Q67" i="1"/>
  <c r="O67" i="1"/>
  <c r="E67" i="1"/>
  <c r="C67" i="1"/>
  <c r="U66" i="1"/>
  <c r="S66" i="1"/>
  <c r="Q66" i="1"/>
  <c r="O66" i="1"/>
  <c r="E66" i="1"/>
  <c r="C66" i="1"/>
  <c r="U65" i="1"/>
  <c r="S65" i="1"/>
  <c r="Q65" i="1"/>
  <c r="O65" i="1"/>
  <c r="E65" i="1"/>
  <c r="C65" i="1"/>
  <c r="U64" i="1"/>
  <c r="S64" i="1"/>
  <c r="Q64" i="1"/>
  <c r="O64" i="1"/>
  <c r="E64" i="1"/>
  <c r="C64" i="1"/>
  <c r="U63" i="1"/>
  <c r="S63" i="1"/>
  <c r="Q63" i="1"/>
  <c r="O63" i="1"/>
  <c r="E63" i="1"/>
  <c r="C63" i="1"/>
  <c r="U62" i="1"/>
  <c r="S62" i="1"/>
  <c r="Q62" i="1"/>
  <c r="O62" i="1"/>
  <c r="E62" i="1"/>
  <c r="C62" i="1"/>
  <c r="U61" i="1"/>
  <c r="S61" i="1"/>
  <c r="Q61" i="1"/>
  <c r="O61" i="1"/>
  <c r="E61" i="1"/>
  <c r="C61" i="1"/>
  <c r="U60" i="1"/>
  <c r="S60" i="1"/>
  <c r="Q60" i="1"/>
  <c r="O60" i="1"/>
  <c r="E60" i="1"/>
  <c r="C60" i="1"/>
  <c r="U59" i="1"/>
  <c r="S59" i="1"/>
  <c r="Q59" i="1"/>
  <c r="O59" i="1"/>
  <c r="E59" i="1"/>
  <c r="C59" i="1"/>
  <c r="U58" i="1"/>
  <c r="S58" i="1"/>
  <c r="Q58" i="1"/>
  <c r="O58" i="1"/>
  <c r="E58" i="1"/>
  <c r="C58" i="1"/>
  <c r="U57" i="1"/>
  <c r="S57" i="1"/>
  <c r="Q57" i="1"/>
  <c r="O57" i="1"/>
  <c r="E57" i="1"/>
  <c r="C57" i="1"/>
  <c r="U56" i="1"/>
  <c r="S56" i="1"/>
  <c r="Q56" i="1"/>
  <c r="O56" i="1"/>
  <c r="E56" i="1"/>
  <c r="C56" i="1"/>
  <c r="U55" i="1"/>
  <c r="S55" i="1"/>
  <c r="Q55" i="1"/>
  <c r="O55" i="1"/>
  <c r="E55" i="1"/>
  <c r="C55" i="1"/>
  <c r="U54" i="1"/>
  <c r="S54" i="1"/>
  <c r="Q54" i="1"/>
  <c r="O54" i="1"/>
  <c r="E54" i="1"/>
  <c r="C54" i="1"/>
  <c r="U53" i="1"/>
  <c r="S53" i="1"/>
  <c r="Q53" i="1"/>
  <c r="O53" i="1"/>
  <c r="E53" i="1"/>
  <c r="C53" i="1"/>
  <c r="U52" i="1"/>
  <c r="S52" i="1"/>
  <c r="Q52" i="1"/>
  <c r="O52" i="1"/>
  <c r="E52" i="1"/>
  <c r="C52" i="1"/>
  <c r="U87" i="1"/>
  <c r="S87" i="1"/>
  <c r="Q87" i="1"/>
  <c r="O87" i="1"/>
  <c r="E87" i="1"/>
  <c r="U40" i="1"/>
  <c r="U86" i="1" s="1"/>
  <c r="S40" i="1"/>
  <c r="S86" i="1" s="1"/>
  <c r="Q40" i="1"/>
  <c r="Q86" i="1" s="1"/>
  <c r="O40" i="1"/>
  <c r="O86" i="1" s="1"/>
  <c r="E40" i="1"/>
  <c r="E86" i="1" s="1"/>
  <c r="C40" i="1"/>
  <c r="C86" i="1" s="1"/>
  <c r="U39" i="1"/>
  <c r="U85" i="1" s="1"/>
  <c r="S39" i="1"/>
  <c r="S85" i="1" s="1"/>
  <c r="Q39" i="1"/>
  <c r="Q85" i="1" s="1"/>
  <c r="O39" i="1"/>
  <c r="O85" i="1" s="1"/>
  <c r="E39" i="1"/>
  <c r="E85" i="1" s="1"/>
  <c r="C39" i="1"/>
  <c r="C85" i="1" s="1"/>
  <c r="U38" i="1"/>
  <c r="U84" i="1" s="1"/>
  <c r="S38" i="1"/>
  <c r="S84" i="1" s="1"/>
  <c r="Q38" i="1"/>
  <c r="Q84" i="1" s="1"/>
  <c r="O38" i="1"/>
  <c r="O84" i="1" s="1"/>
  <c r="E38" i="1"/>
  <c r="E84" i="1" s="1"/>
  <c r="C38" i="1"/>
  <c r="C84" i="1" s="1"/>
  <c r="U37" i="1"/>
  <c r="U83" i="1" s="1"/>
  <c r="S37" i="1"/>
  <c r="S83" i="1" s="1"/>
  <c r="Q37" i="1"/>
  <c r="Q83" i="1" s="1"/>
  <c r="O37" i="1"/>
  <c r="O83" i="1" s="1"/>
  <c r="E37" i="1"/>
  <c r="E83" i="1" s="1"/>
  <c r="C37" i="1"/>
  <c r="C83" i="1" s="1"/>
  <c r="U36" i="1"/>
  <c r="U82" i="1" s="1"/>
  <c r="S36" i="1"/>
  <c r="S82" i="1" s="1"/>
  <c r="Q36" i="1"/>
  <c r="Q82" i="1" s="1"/>
  <c r="O36" i="1"/>
  <c r="O82" i="1" s="1"/>
  <c r="E36" i="1"/>
  <c r="E82" i="1" s="1"/>
  <c r="C36" i="1"/>
  <c r="C82" i="1" s="1"/>
  <c r="U35" i="1"/>
  <c r="U81" i="1" s="1"/>
  <c r="S35" i="1"/>
  <c r="S81" i="1" s="1"/>
  <c r="Q35" i="1"/>
  <c r="Q81" i="1" s="1"/>
  <c r="O35" i="1"/>
  <c r="O81" i="1" s="1"/>
  <c r="E35" i="1"/>
  <c r="E81" i="1" s="1"/>
  <c r="C35" i="1"/>
  <c r="C81" i="1" s="1"/>
  <c r="U34" i="1"/>
  <c r="U80" i="1" s="1"/>
  <c r="S34" i="1"/>
  <c r="S80" i="1" s="1"/>
  <c r="Q34" i="1"/>
  <c r="Q80" i="1" s="1"/>
  <c r="O34" i="1"/>
  <c r="O80" i="1" s="1"/>
  <c r="E34" i="1"/>
  <c r="E80" i="1" s="1"/>
  <c r="C34" i="1"/>
  <c r="C80" i="1" s="1"/>
  <c r="U33" i="1"/>
  <c r="U79" i="1" s="1"/>
  <c r="S33" i="1"/>
  <c r="S79" i="1" s="1"/>
  <c r="Q33" i="1"/>
  <c r="Q79" i="1" s="1"/>
  <c r="O33" i="1"/>
  <c r="O79" i="1" s="1"/>
  <c r="E33" i="1"/>
  <c r="E79" i="1" s="1"/>
  <c r="C33" i="1"/>
  <c r="C79" i="1" s="1"/>
  <c r="U32" i="1"/>
  <c r="U78" i="1" s="1"/>
  <c r="S32" i="1"/>
  <c r="S78" i="1" s="1"/>
  <c r="Q32" i="1"/>
  <c r="Q78" i="1" s="1"/>
  <c r="O32" i="1"/>
  <c r="O78" i="1" s="1"/>
  <c r="E32" i="1"/>
  <c r="E78" i="1" s="1"/>
  <c r="C32" i="1"/>
  <c r="C78" i="1" s="1"/>
  <c r="U31" i="1"/>
  <c r="U77" i="1" s="1"/>
  <c r="S31" i="1"/>
  <c r="S77" i="1" s="1"/>
  <c r="Q31" i="1"/>
  <c r="Q77" i="1" s="1"/>
  <c r="O31" i="1"/>
  <c r="O77" i="1" s="1"/>
  <c r="E31" i="1"/>
  <c r="E77" i="1" s="1"/>
  <c r="C31" i="1"/>
  <c r="C77" i="1" s="1"/>
  <c r="U30" i="1"/>
  <c r="U76" i="1" s="1"/>
  <c r="S30" i="1"/>
  <c r="S76" i="1" s="1"/>
  <c r="Q30" i="1"/>
  <c r="Q76" i="1" s="1"/>
  <c r="O30" i="1"/>
  <c r="O76" i="1" s="1"/>
  <c r="E30" i="1"/>
  <c r="E76" i="1" s="1"/>
  <c r="C30" i="1"/>
  <c r="C76" i="1" s="1"/>
  <c r="U29" i="1"/>
  <c r="U75" i="1" s="1"/>
  <c r="S29" i="1"/>
  <c r="S75" i="1" s="1"/>
  <c r="Q29" i="1"/>
  <c r="Q75" i="1" s="1"/>
  <c r="O29" i="1"/>
  <c r="O75" i="1" s="1"/>
  <c r="E29" i="1"/>
  <c r="E75" i="1" s="1"/>
  <c r="C29" i="1"/>
  <c r="C75" i="1" s="1"/>
  <c r="C28" i="1"/>
  <c r="C74" i="1" s="1"/>
</calcChain>
</file>

<file path=xl/sharedStrings.xml><?xml version="1.0" encoding="utf-8"?>
<sst xmlns="http://schemas.openxmlformats.org/spreadsheetml/2006/main" count="203" uniqueCount="67">
  <si>
    <t/>
  </si>
  <si>
    <t>Inpatient</t>
  </si>
  <si>
    <t>nursing</t>
  </si>
  <si>
    <t xml:space="preserve"> 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</si>
  <si>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</si>
  <si>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</si>
  <si>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</si>
  <si>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</si>
  <si>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</si>
  <si>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</si>
  <si>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</si>
  <si>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</si>
  <si>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</si>
  <si>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</si>
  <si>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</si>
  <si>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</si>
  <si>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</si>
  <si>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</si>
  <si>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</si>
  <si>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</si>
  <si>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</si>
  <si>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</si>
  <si>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</si>
  <si>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</si>
  <si>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</si>
  <si>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</si>
  <si>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</si>
  <si>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</si>
  <si>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</si>
  <si>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</si>
  <si>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</si>
  <si>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</si>
  <si>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</si>
  <si>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</si>
  <si>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</si>
  <si>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</si>
  <si>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</si>
  <si>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Nursing</t>
  </si>
  <si>
    <t xml:space="preserve"> Facility</t>
  </si>
  <si>
    <t>Facility</t>
  </si>
  <si>
    <t>Table 13.14</t>
  </si>
  <si>
    <r>
      <t xml:space="preserve">    Total </t>
    </r>
    <r>
      <rPr>
        <vertAlign val="superscript"/>
        <sz val="8"/>
        <rFont val="Arial"/>
        <family val="2"/>
      </rPr>
      <t>1</t>
    </r>
  </si>
  <si>
    <t>Medicaid Payments per Person Served (Beneficiary), Adults, by Type of Service:</t>
  </si>
  <si>
    <t xml:space="preserve">Medicaid Payments per Person Served (Beneficiary), Adults, by Type of Service: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</si>
  <si>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</si>
  <si>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>some not shown separately.</t>
  </si>
  <si>
    <t>that may be misleading.</t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</si>
  <si>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</si>
  <si>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</si>
  <si>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</si>
  <si>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Recipients, Payments, and Services (HCFA 2082), Medicaid Statistical Information System (MSIS), and the personal health care consumption </t>
  </si>
  <si>
    <t>Table 13.14—Continued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</si>
  <si>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</si>
  <si>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</si>
  <si>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</si>
  <si>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</si>
  <si>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</si>
  <si>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</si>
  <si>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</si>
  <si>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</si>
  <si>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</si>
  <si>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</si>
  <si>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1975-2010</t>
  </si>
  <si>
    <t xml:space="preserve">services, U.S. Department of Commerce, Bureau of Economic Analysis (BEA), expressed in fiscal year 2010 dollars. With the release of the comprehensive </t>
  </si>
  <si>
    <t>indices form the U.S. Department of Commerce; data development by the Office of Information Products and Data Analytics.</t>
  </si>
  <si>
    <t>(Constant 2010 Dollars)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</si>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</sst>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2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2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164" fontId="8" fillId="0" borderId="0" xfId="0" applyFont="1" applyAlignment="1" applyProtection="1">
      <alignment horizontal="left"/>
    </xf>
    <xf numFmtId="164" fontId="8" fillId="0" borderId="0" xfId="0" applyFont="1"/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9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7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Protection="1"/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2" fillId="0" borderId="0" xfId="0" applyFont="1" applyBorder="1"/>
    <xf numFmtId="37" fontId="8" fillId="0" borderId="0" xfId="0" applyNumberFormat="1" applyFont="1" applyBorder="1" applyAlignment="1" applyProtection="1">
      <alignment horizontal="right"/>
    </xf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37" fontId="8" fillId="0" borderId="1" xfId="0" applyNumberFormat="1" applyFont="1" applyBorder="1" applyAlignment="1" applyProtection="1">
      <alignment horizontal="right"/>
    </xf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8" fillId="0" borderId="0" xfId="0" applyNumberFormat="1" applyFont="1" applyBorder="1" applyAlignment="1" applyProtection="1">
      <alignment horizontal="right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4" fontId="2" fillId="0" borderId="0" xfId="0" applyFont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8" fillId="0" borderId="1" xfId="0" applyNumberFormat="1" applyFont="1" applyBorder="1" applyAlignment="1" applyProtection="1">
      <alignment horizontal="left" vertical="center"/>
    </xf>
    <xf numFmtId="164" fontId="7" fillId="0" borderId="0" xfId="0" applyNumberFormat="1" applyFont="1" applyAlignment="1" applyProtection="1">
      <alignment horizontal="left" vertical="center"/>
    </xf>
    <xf numFmtId="164" fontId="0" fillId="0" borderId="0" xfId="0" applyFont="1"/>
    <xf numFmtId="164" fontId="8" fillId="0" borderId="0" xfId="0" applyNumberFormat="1" applyFont="1" applyBorder="1" applyAlignment="1" applyProtection="1">
      <alignment horizontal="left" vertical="center"/>
    </xf>
    <xf numFmtId="164" fontId="7" fillId="0" borderId="0" xfId="0" applyFont="1" applyAlignment="1" applyProtection="1">
      <alignment horizontal="left" vertical="center"/>
    </xf>
    <xf numFmtId="37" fontId="11" fillId="0" borderId="0" xfId="0" applyNumberFormat="1" applyFont="1" applyAlignment="1" applyProtection="1">
      <alignment horizontal="center"/>
    </xf>
    <xf numFmtId="37" fontId="11" fillId="0" borderId="0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164" fontId="7" fillId="0" borderId="0" xfId="0" quotePrefix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top"/>
    </xf>
    <xf numFmtId="164" fontId="7" fillId="0" borderId="0" xfId="0" applyFont="1" applyBorder="1" applyAlignment="1">
      <alignment vertical="center"/>
    </xf>
    <xf numFmtId="164" fontId="7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top"/>
    </xf>
    <xf numFmtId="164" fontId="5" fillId="0" borderId="0" xfId="0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108"/>
  <sheetViews>
    <sheetView showGridLines="0" tabSelected="1" zoomScale="110" zoomScaleNormal="110" workbookViewId="0">
      <selection sqref="A1:V1"/>
    </sheetView>
  </sheetViews>
  <sheetFormatPr defaultColWidth="9.7109375" defaultRowHeight="12.75" x14ac:dyDescent="0.2"/>
  <cols>
    <col min="1" max="1" width="6.7109375" style="8" customWidth="1"/>
    <col min="2" max="2" width="3.7109375" style="8" customWidth="1"/>
    <col min="3" max="3" width="6.5703125" style="8" customWidth="1"/>
    <col min="4" max="4" width="2.7109375" style="8" customWidth="1"/>
    <col min="5" max="5" width="7.85546875" style="8" customWidth="1"/>
    <col min="6" max="6" width="2.7109375" style="8" customWidth="1"/>
    <col min="7" max="7" width="6.7109375" style="8" customWidth="1"/>
    <col min="8" max="8" width="3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6.7109375" style="8" customWidth="1"/>
    <col min="16" max="16" width="3.7109375" style="8" customWidth="1"/>
    <col min="17" max="17" width="6.7109375" style="8" customWidth="1"/>
    <col min="18" max="18" width="3.7109375" style="8" customWidth="1"/>
    <col min="19" max="19" width="5.7109375" style="8" customWidth="1"/>
    <col min="20" max="20" width="3.7109375" style="8" customWidth="1"/>
    <col min="21" max="21" width="6.7109375" style="8" customWidth="1"/>
    <col min="22" max="22" width="2.28515625" style="8" customWidth="1"/>
    <col min="23" max="25" width="9.7109375" style="8"/>
  </cols>
  <sheetData>
    <row r="1" spans="1:25" s="2" customFormat="1" ht="15" customHeight="1" x14ac:dyDescent="0.2">
      <c r="A1" s="70" t="s">
        <v>40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6"/>
      <c r="X1" s="6"/>
      <c r="Y1" s="6"/>
    </row>
    <row r="2" spans="1:25" s="48" customFormat="1" ht="12.95" customHeight="1" x14ac:dyDescent="0.2">
      <c r="A2" s="68" t="s">
        <v>42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47"/>
      <c r="X2" s="47"/>
      <c r="Y2" s="47"/>
    </row>
    <row r="3" spans="1:25" s="3" customFormat="1" ht="12.95" customHeight="1" x14ac:dyDescent="0.2">
      <c r="A3" s="69" t="s">
        <v>62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7"/>
      <c r="X3" s="7"/>
      <c r="Y3" s="7"/>
    </row>
    <row r="4" spans="1:25" s="1" customFormat="1" ht="10.5" customHeight="1" x14ac:dyDescent="0.2">
      <c r="A4" s="18" t="s">
        <v>0</v>
      </c>
      <c r="B4" s="19"/>
      <c r="C4" s="19"/>
      <c r="D4" s="19"/>
      <c r="E4" s="49" t="s">
        <v>1</v>
      </c>
      <c r="F4" s="19"/>
      <c r="G4" s="19"/>
      <c r="H4" s="19"/>
      <c r="I4" s="19"/>
      <c r="J4" s="19"/>
      <c r="K4" s="20" t="s">
        <v>2</v>
      </c>
      <c r="L4" s="19"/>
      <c r="M4" s="18" t="s">
        <v>3</v>
      </c>
      <c r="N4" s="19"/>
      <c r="O4" s="19"/>
      <c r="P4" s="19"/>
      <c r="Q4" s="20" t="s">
        <v>4</v>
      </c>
      <c r="R4" s="19"/>
      <c r="S4" s="20" t="s">
        <v>5</v>
      </c>
      <c r="T4" s="19"/>
      <c r="U4" s="18" t="s">
        <v>6</v>
      </c>
      <c r="V4" s="10"/>
      <c r="W4" s="10"/>
      <c r="X4" s="10"/>
      <c r="Y4" s="10"/>
    </row>
    <row r="5" spans="1:25" s="1" customFormat="1" ht="15" customHeight="1" x14ac:dyDescent="0.2">
      <c r="A5" s="21" t="s">
        <v>7</v>
      </c>
      <c r="B5" s="10"/>
      <c r="C5" s="21" t="s">
        <v>41</v>
      </c>
      <c r="D5" s="10"/>
      <c r="E5" s="50" t="s">
        <v>8</v>
      </c>
      <c r="F5" s="10"/>
      <c r="G5" s="23" t="s">
        <v>9</v>
      </c>
      <c r="H5" s="24"/>
      <c r="I5" s="25" t="s">
        <v>10</v>
      </c>
      <c r="J5" s="24"/>
      <c r="K5" s="25" t="s">
        <v>11</v>
      </c>
      <c r="L5" s="24"/>
      <c r="M5" s="26" t="s">
        <v>38</v>
      </c>
      <c r="N5" s="10"/>
      <c r="O5" s="22" t="s">
        <v>12</v>
      </c>
      <c r="P5" s="10"/>
      <c r="Q5" s="50" t="s">
        <v>8</v>
      </c>
      <c r="R5" s="10"/>
      <c r="S5" s="27" t="s">
        <v>52</v>
      </c>
      <c r="T5" s="10"/>
      <c r="U5" s="50" t="s">
        <v>13</v>
      </c>
      <c r="V5" s="24"/>
      <c r="W5" s="10"/>
      <c r="X5" s="10"/>
      <c r="Y5" s="10"/>
    </row>
    <row r="6" spans="1:25" s="1" customFormat="1" ht="12" customHeight="1" x14ac:dyDescent="0.2">
      <c r="A6" s="28" t="s">
        <v>14</v>
      </c>
      <c r="B6" s="29"/>
      <c r="C6" s="30">
        <v>455</v>
      </c>
      <c r="D6" s="29"/>
      <c r="E6" s="30">
        <v>1085</v>
      </c>
      <c r="F6" s="29"/>
      <c r="G6" s="60">
        <v>-3</v>
      </c>
      <c r="H6" s="10"/>
      <c r="I6" s="31" t="s">
        <v>15</v>
      </c>
      <c r="J6" s="10"/>
      <c r="K6" s="32" t="s">
        <v>16</v>
      </c>
      <c r="L6" s="10"/>
      <c r="M6" s="60">
        <v>-3</v>
      </c>
      <c r="N6" s="29"/>
      <c r="O6" s="30">
        <v>116</v>
      </c>
      <c r="P6" s="29"/>
      <c r="Q6" s="30">
        <v>57</v>
      </c>
      <c r="R6" s="29"/>
      <c r="S6" s="30">
        <v>121</v>
      </c>
      <c r="T6" s="29"/>
      <c r="U6" s="30">
        <v>51</v>
      </c>
      <c r="V6" s="19"/>
      <c r="W6" s="10"/>
      <c r="X6" s="10"/>
      <c r="Y6" s="10"/>
    </row>
    <row r="7" spans="1:25" s="1" customFormat="1" ht="11.25" customHeight="1" x14ac:dyDescent="0.2">
      <c r="A7" s="21" t="s">
        <v>17</v>
      </c>
      <c r="B7" s="10"/>
      <c r="C7" s="33">
        <v>479</v>
      </c>
      <c r="D7" s="10"/>
      <c r="E7" s="33">
        <v>1202</v>
      </c>
      <c r="F7" s="10"/>
      <c r="G7" s="60">
        <v>-3</v>
      </c>
      <c r="H7" s="10"/>
      <c r="I7" s="34" t="s">
        <v>16</v>
      </c>
      <c r="J7" s="10"/>
      <c r="K7" s="34" t="s">
        <v>16</v>
      </c>
      <c r="L7" s="10"/>
      <c r="M7" s="60">
        <v>-3</v>
      </c>
      <c r="N7" s="10"/>
      <c r="O7" s="33">
        <v>125</v>
      </c>
      <c r="P7" s="10"/>
      <c r="Q7" s="33">
        <v>74</v>
      </c>
      <c r="R7" s="10"/>
      <c r="S7" s="33">
        <v>284</v>
      </c>
      <c r="T7" s="10"/>
      <c r="U7" s="33">
        <v>46</v>
      </c>
      <c r="V7" s="10"/>
      <c r="W7" s="10"/>
      <c r="X7" s="10"/>
      <c r="Y7" s="10"/>
    </row>
    <row r="8" spans="1:25" s="1" customFormat="1" ht="11.25" customHeight="1" x14ac:dyDescent="0.2">
      <c r="A8" s="21" t="s">
        <v>18</v>
      </c>
      <c r="B8" s="10"/>
      <c r="C8" s="33">
        <v>545</v>
      </c>
      <c r="D8" s="10"/>
      <c r="E8" s="33">
        <v>1302</v>
      </c>
      <c r="F8" s="10"/>
      <c r="G8" s="60">
        <v>-3</v>
      </c>
      <c r="H8" s="10"/>
      <c r="I8" s="34" t="s">
        <v>16</v>
      </c>
      <c r="J8" s="10"/>
      <c r="K8" s="34" t="s">
        <v>16</v>
      </c>
      <c r="L8" s="10"/>
      <c r="M8" s="60">
        <v>-3</v>
      </c>
      <c r="N8" s="10"/>
      <c r="O8" s="33">
        <v>132</v>
      </c>
      <c r="P8" s="10"/>
      <c r="Q8" s="33">
        <v>118</v>
      </c>
      <c r="R8" s="10"/>
      <c r="S8" s="33">
        <v>316</v>
      </c>
      <c r="T8" s="10"/>
      <c r="U8" s="33">
        <v>50</v>
      </c>
      <c r="V8" s="10"/>
      <c r="W8" s="10"/>
      <c r="X8" s="10"/>
      <c r="Y8" s="10"/>
    </row>
    <row r="9" spans="1:25" s="1" customFormat="1" ht="11.25" customHeight="1" x14ac:dyDescent="0.2">
      <c r="A9" s="21" t="s">
        <v>19</v>
      </c>
      <c r="B9" s="10"/>
      <c r="C9" s="33">
        <v>576</v>
      </c>
      <c r="D9" s="10"/>
      <c r="E9" s="33">
        <v>1404</v>
      </c>
      <c r="F9" s="10"/>
      <c r="G9" s="60">
        <v>-3</v>
      </c>
      <c r="H9" s="10"/>
      <c r="I9" s="34" t="s">
        <v>16</v>
      </c>
      <c r="J9" s="10"/>
      <c r="K9" s="34" t="s">
        <v>16</v>
      </c>
      <c r="L9" s="10"/>
      <c r="M9" s="60">
        <v>-3</v>
      </c>
      <c r="N9" s="10"/>
      <c r="O9" s="33">
        <v>140</v>
      </c>
      <c r="P9" s="10"/>
      <c r="Q9" s="33">
        <v>113</v>
      </c>
      <c r="R9" s="10"/>
      <c r="S9" s="33">
        <v>457</v>
      </c>
      <c r="T9" s="10"/>
      <c r="U9" s="33">
        <v>52</v>
      </c>
      <c r="V9" s="10"/>
      <c r="W9" s="10"/>
      <c r="X9" s="10"/>
      <c r="Y9" s="10"/>
    </row>
    <row r="10" spans="1:25" s="1" customFormat="1" ht="11.25" customHeight="1" x14ac:dyDescent="0.2">
      <c r="A10" s="21" t="s">
        <v>20</v>
      </c>
      <c r="B10" s="10"/>
      <c r="C10" s="33">
        <v>661</v>
      </c>
      <c r="D10" s="10"/>
      <c r="E10" s="33">
        <v>1640</v>
      </c>
      <c r="F10" s="10"/>
      <c r="G10" s="60">
        <v>-3</v>
      </c>
      <c r="H10" s="10"/>
      <c r="I10" s="34" t="s">
        <v>16</v>
      </c>
      <c r="J10" s="10"/>
      <c r="K10" s="34" t="s">
        <v>16</v>
      </c>
      <c r="L10" s="10"/>
      <c r="M10" s="60">
        <v>-3</v>
      </c>
      <c r="N10" s="10"/>
      <c r="O10" s="33">
        <v>152</v>
      </c>
      <c r="P10" s="10"/>
      <c r="Q10" s="33">
        <v>127</v>
      </c>
      <c r="R10" s="10"/>
      <c r="S10" s="33">
        <v>765</v>
      </c>
      <c r="T10" s="10"/>
      <c r="U10" s="33">
        <v>61</v>
      </c>
      <c r="V10" s="10"/>
      <c r="W10" s="10"/>
      <c r="X10" s="10"/>
      <c r="Y10" s="10"/>
    </row>
    <row r="11" spans="1:25" s="1" customFormat="1" ht="11.25" customHeight="1" x14ac:dyDescent="0.2">
      <c r="A11" s="21" t="s">
        <v>21</v>
      </c>
      <c r="B11" s="10"/>
      <c r="C11" s="33">
        <v>663</v>
      </c>
      <c r="D11" s="10"/>
      <c r="E11" s="33">
        <v>1673</v>
      </c>
      <c r="F11" s="10"/>
      <c r="G11" s="60">
        <v>-3</v>
      </c>
      <c r="H11" s="10"/>
      <c r="I11" s="34" t="s">
        <v>16</v>
      </c>
      <c r="J11" s="10"/>
      <c r="K11" s="34" t="s">
        <v>16</v>
      </c>
      <c r="L11" s="10"/>
      <c r="M11" s="60">
        <v>-3</v>
      </c>
      <c r="N11" s="10"/>
      <c r="O11" s="33">
        <v>183</v>
      </c>
      <c r="P11" s="10"/>
      <c r="Q11" s="33">
        <v>126</v>
      </c>
      <c r="R11" s="10"/>
      <c r="S11" s="33">
        <v>252</v>
      </c>
      <c r="T11" s="10"/>
      <c r="U11" s="33">
        <v>66</v>
      </c>
      <c r="V11" s="10"/>
      <c r="W11" s="10"/>
      <c r="X11" s="10"/>
      <c r="Y11" s="10"/>
    </row>
    <row r="12" spans="1:25" s="1" customFormat="1" ht="11.25" customHeight="1" x14ac:dyDescent="0.2">
      <c r="A12" s="21" t="s">
        <v>22</v>
      </c>
      <c r="B12" s="10"/>
      <c r="C12" s="33">
        <v>725</v>
      </c>
      <c r="D12" s="10"/>
      <c r="E12" s="33">
        <v>1833</v>
      </c>
      <c r="F12" s="10"/>
      <c r="G12" s="60">
        <v>-3</v>
      </c>
      <c r="H12" s="10"/>
      <c r="I12" s="34" t="s">
        <v>16</v>
      </c>
      <c r="J12" s="10"/>
      <c r="K12" s="34" t="s">
        <v>16</v>
      </c>
      <c r="L12" s="10"/>
      <c r="M12" s="60">
        <v>-3</v>
      </c>
      <c r="N12" s="10"/>
      <c r="O12" s="33">
        <v>193</v>
      </c>
      <c r="P12" s="10"/>
      <c r="Q12" s="33">
        <v>157</v>
      </c>
      <c r="R12" s="10"/>
      <c r="S12" s="33">
        <v>303</v>
      </c>
      <c r="T12" s="10"/>
      <c r="U12" s="33">
        <v>69</v>
      </c>
      <c r="V12" s="10"/>
      <c r="W12" s="10"/>
      <c r="X12" s="10"/>
      <c r="Y12" s="10"/>
    </row>
    <row r="13" spans="1:25" s="1" customFormat="1" ht="11.25" customHeight="1" x14ac:dyDescent="0.2">
      <c r="A13" s="21" t="s">
        <v>23</v>
      </c>
      <c r="B13" s="10"/>
      <c r="C13" s="33">
        <v>764</v>
      </c>
      <c r="D13" s="10"/>
      <c r="E13" s="33">
        <v>2046</v>
      </c>
      <c r="F13" s="10"/>
      <c r="G13" s="60">
        <v>-3</v>
      </c>
      <c r="H13" s="10"/>
      <c r="I13" s="34" t="s">
        <v>16</v>
      </c>
      <c r="J13" s="10"/>
      <c r="K13" s="34" t="s">
        <v>16</v>
      </c>
      <c r="L13" s="10"/>
      <c r="M13" s="60">
        <v>-3</v>
      </c>
      <c r="N13" s="10"/>
      <c r="O13" s="33">
        <v>197</v>
      </c>
      <c r="P13" s="10"/>
      <c r="Q13" s="33">
        <v>162</v>
      </c>
      <c r="R13" s="10"/>
      <c r="S13" s="33">
        <v>352</v>
      </c>
      <c r="T13" s="10"/>
      <c r="U13" s="33">
        <v>74</v>
      </c>
      <c r="V13" s="10"/>
      <c r="W13" s="10"/>
      <c r="X13" s="10"/>
      <c r="Y13" s="10"/>
    </row>
    <row r="14" spans="1:25" s="1" customFormat="1" ht="11.25" customHeight="1" x14ac:dyDescent="0.2">
      <c r="A14" s="21" t="s">
        <v>24</v>
      </c>
      <c r="B14" s="10"/>
      <c r="C14" s="33">
        <v>802</v>
      </c>
      <c r="D14" s="10"/>
      <c r="E14" s="33">
        <v>2146</v>
      </c>
      <c r="F14" s="10"/>
      <c r="G14" s="60">
        <v>-3</v>
      </c>
      <c r="H14" s="10"/>
      <c r="I14" s="34" t="s">
        <v>16</v>
      </c>
      <c r="J14" s="10"/>
      <c r="K14" s="34" t="s">
        <v>16</v>
      </c>
      <c r="L14" s="10"/>
      <c r="M14" s="60">
        <v>-3</v>
      </c>
      <c r="N14" s="10"/>
      <c r="O14" s="33">
        <v>198</v>
      </c>
      <c r="P14" s="10"/>
      <c r="Q14" s="33">
        <v>170</v>
      </c>
      <c r="R14" s="10"/>
      <c r="S14" s="33">
        <v>402</v>
      </c>
      <c r="T14" s="10"/>
      <c r="U14" s="33">
        <v>78</v>
      </c>
      <c r="V14" s="10"/>
      <c r="W14" s="10"/>
      <c r="X14" s="10"/>
      <c r="Y14" s="10"/>
    </row>
    <row r="15" spans="1:25" s="1" customFormat="1" ht="11.25" customHeight="1" x14ac:dyDescent="0.2">
      <c r="A15" s="21" t="s">
        <v>25</v>
      </c>
      <c r="B15" s="10"/>
      <c r="C15" s="33">
        <v>789</v>
      </c>
      <c r="D15" s="10"/>
      <c r="E15" s="33">
        <v>2229</v>
      </c>
      <c r="F15" s="10"/>
      <c r="G15" s="60">
        <v>-3</v>
      </c>
      <c r="H15" s="10"/>
      <c r="I15" s="34" t="s">
        <v>16</v>
      </c>
      <c r="J15" s="10"/>
      <c r="K15" s="34" t="s">
        <v>16</v>
      </c>
      <c r="L15" s="10"/>
      <c r="M15" s="60">
        <v>-3</v>
      </c>
      <c r="N15" s="10"/>
      <c r="O15" s="33">
        <v>197</v>
      </c>
      <c r="P15" s="10"/>
      <c r="Q15" s="33">
        <v>172</v>
      </c>
      <c r="R15" s="10"/>
      <c r="S15" s="33">
        <v>411</v>
      </c>
      <c r="T15" s="10"/>
      <c r="U15" s="33">
        <v>83</v>
      </c>
      <c r="V15" s="10"/>
      <c r="W15" s="10"/>
      <c r="X15" s="10"/>
      <c r="Y15" s="10"/>
    </row>
    <row r="16" spans="1:25" s="1" customFormat="1" ht="11.25" customHeight="1" x14ac:dyDescent="0.2">
      <c r="A16" s="21" t="s">
        <v>26</v>
      </c>
      <c r="B16" s="10"/>
      <c r="C16" s="33">
        <v>860</v>
      </c>
      <c r="D16" s="10"/>
      <c r="E16" s="33">
        <v>2354</v>
      </c>
      <c r="F16" s="10"/>
      <c r="G16" s="60">
        <v>-3</v>
      </c>
      <c r="H16" s="10"/>
      <c r="I16" s="34" t="s">
        <v>16</v>
      </c>
      <c r="J16" s="10"/>
      <c r="K16" s="34" t="s">
        <v>16</v>
      </c>
      <c r="L16" s="10"/>
      <c r="M16" s="60">
        <v>-3</v>
      </c>
      <c r="N16" s="10"/>
      <c r="O16" s="33">
        <v>213</v>
      </c>
      <c r="P16" s="10"/>
      <c r="Q16" s="33">
        <v>183</v>
      </c>
      <c r="R16" s="10"/>
      <c r="S16" s="33">
        <v>483</v>
      </c>
      <c r="T16" s="10"/>
      <c r="U16" s="33">
        <v>96</v>
      </c>
      <c r="V16" s="10"/>
      <c r="W16" s="10"/>
      <c r="X16" s="10"/>
      <c r="Y16" s="10"/>
    </row>
    <row r="17" spans="1:25" s="1" customFormat="1" ht="11.25" customHeight="1" x14ac:dyDescent="0.2">
      <c r="A17" s="21" t="s">
        <v>27</v>
      </c>
      <c r="B17" s="10"/>
      <c r="C17" s="33">
        <v>864</v>
      </c>
      <c r="D17" s="10"/>
      <c r="E17" s="33">
        <v>2237</v>
      </c>
      <c r="F17" s="10"/>
      <c r="G17" s="60">
        <v>-3</v>
      </c>
      <c r="H17" s="10"/>
      <c r="I17" s="34" t="s">
        <v>16</v>
      </c>
      <c r="J17" s="10"/>
      <c r="K17" s="34" t="s">
        <v>16</v>
      </c>
      <c r="L17" s="10"/>
      <c r="M17" s="60">
        <v>-3</v>
      </c>
      <c r="N17" s="10"/>
      <c r="O17" s="33">
        <v>237</v>
      </c>
      <c r="P17" s="10"/>
      <c r="Q17" s="33">
        <v>175</v>
      </c>
      <c r="R17" s="10"/>
      <c r="S17" s="33">
        <v>433</v>
      </c>
      <c r="T17" s="10"/>
      <c r="U17" s="33">
        <v>102</v>
      </c>
      <c r="V17" s="10"/>
      <c r="W17" s="10"/>
      <c r="X17" s="10"/>
      <c r="Y17" s="10"/>
    </row>
    <row r="18" spans="1:25" s="1" customFormat="1" ht="11.25" customHeight="1" x14ac:dyDescent="0.2">
      <c r="A18" s="21" t="s">
        <v>28</v>
      </c>
      <c r="B18" s="10"/>
      <c r="C18" s="33">
        <v>999</v>
      </c>
      <c r="D18" s="10"/>
      <c r="E18" s="33">
        <v>2487</v>
      </c>
      <c r="F18" s="10"/>
      <c r="G18" s="60">
        <v>-3</v>
      </c>
      <c r="H18" s="10"/>
      <c r="I18" s="10"/>
      <c r="J18" s="10"/>
      <c r="K18" s="10"/>
      <c r="L18" s="10"/>
      <c r="M18" s="60">
        <v>-3</v>
      </c>
      <c r="N18" s="10"/>
      <c r="O18" s="33">
        <v>250</v>
      </c>
      <c r="P18" s="10"/>
      <c r="Q18" s="33">
        <v>207</v>
      </c>
      <c r="R18" s="10"/>
      <c r="S18" s="33">
        <v>459</v>
      </c>
      <c r="T18" s="10"/>
      <c r="U18" s="33">
        <v>117</v>
      </c>
      <c r="V18" s="10"/>
      <c r="W18" s="10"/>
      <c r="X18" s="10"/>
      <c r="Y18" s="10"/>
    </row>
    <row r="19" spans="1:25" s="1" customFormat="1" ht="11.25" customHeight="1" x14ac:dyDescent="0.2">
      <c r="A19" s="21" t="s">
        <v>29</v>
      </c>
      <c r="B19" s="10"/>
      <c r="C19" s="33">
        <v>1069</v>
      </c>
      <c r="D19" s="10"/>
      <c r="E19" s="33">
        <v>2542</v>
      </c>
      <c r="F19" s="10"/>
      <c r="G19" s="60">
        <v>-3</v>
      </c>
      <c r="H19" s="10"/>
      <c r="I19" s="34" t="s">
        <v>16</v>
      </c>
      <c r="J19" s="10"/>
      <c r="K19" s="34" t="s">
        <v>16</v>
      </c>
      <c r="L19" s="10"/>
      <c r="M19" s="60">
        <v>-3</v>
      </c>
      <c r="N19" s="10"/>
      <c r="O19" s="33">
        <v>272</v>
      </c>
      <c r="P19" s="10"/>
      <c r="Q19" s="33">
        <v>232</v>
      </c>
      <c r="R19" s="10"/>
      <c r="S19" s="33">
        <v>570</v>
      </c>
      <c r="T19" s="10"/>
      <c r="U19" s="33">
        <v>122</v>
      </c>
      <c r="V19" s="10"/>
      <c r="W19" s="10"/>
      <c r="X19" s="10"/>
      <c r="Y19" s="10"/>
    </row>
    <row r="20" spans="1:25" s="1" customFormat="1" ht="11.25" customHeight="1" x14ac:dyDescent="0.2">
      <c r="A20" s="21" t="s">
        <v>30</v>
      </c>
      <c r="B20" s="10"/>
      <c r="C20" s="33">
        <v>1206</v>
      </c>
      <c r="D20" s="10"/>
      <c r="E20" s="33">
        <v>2582</v>
      </c>
      <c r="F20" s="10"/>
      <c r="G20" s="60">
        <v>-3</v>
      </c>
      <c r="H20" s="10"/>
      <c r="I20" s="31" t="s">
        <v>15</v>
      </c>
      <c r="J20" s="10"/>
      <c r="K20" s="32" t="s">
        <v>16</v>
      </c>
      <c r="L20" s="10"/>
      <c r="M20" s="60">
        <v>-3</v>
      </c>
      <c r="N20" s="10"/>
      <c r="O20" s="33">
        <v>305</v>
      </c>
      <c r="P20" s="10"/>
      <c r="Q20" s="33">
        <v>249</v>
      </c>
      <c r="R20" s="10"/>
      <c r="S20" s="33">
        <v>622</v>
      </c>
      <c r="T20" s="10"/>
      <c r="U20" s="33">
        <v>129</v>
      </c>
      <c r="V20" s="10"/>
      <c r="W20" s="10"/>
      <c r="X20" s="10"/>
      <c r="Y20" s="10"/>
    </row>
    <row r="21" spans="1:25" s="1" customFormat="1" ht="11.25" customHeight="1" x14ac:dyDescent="0.2">
      <c r="A21" s="21" t="s">
        <v>31</v>
      </c>
      <c r="B21" s="10"/>
      <c r="C21" s="33">
        <v>1429.14</v>
      </c>
      <c r="D21" s="10"/>
      <c r="E21" s="33">
        <v>2889.44</v>
      </c>
      <c r="F21" s="10"/>
      <c r="G21" s="60">
        <v>-3</v>
      </c>
      <c r="H21" s="10"/>
      <c r="I21" s="34" t="s">
        <v>16</v>
      </c>
      <c r="J21" s="10"/>
      <c r="K21" s="34" t="s">
        <v>16</v>
      </c>
      <c r="L21" s="10"/>
      <c r="M21" s="60">
        <v>-3</v>
      </c>
      <c r="N21" s="10"/>
      <c r="O21" s="33">
        <v>348.64</v>
      </c>
      <c r="P21" s="10"/>
      <c r="Q21" s="33">
        <v>278.60000000000002</v>
      </c>
      <c r="R21" s="10"/>
      <c r="S21" s="33">
        <v>708.83</v>
      </c>
      <c r="T21" s="10"/>
      <c r="U21" s="33">
        <v>140.69999999999999</v>
      </c>
      <c r="V21" s="10"/>
      <c r="W21" s="10"/>
      <c r="X21" s="10"/>
      <c r="Y21" s="10"/>
    </row>
    <row r="22" spans="1:25" s="1" customFormat="1" ht="11.25" customHeight="1" x14ac:dyDescent="0.2">
      <c r="A22" s="21" t="s">
        <v>32</v>
      </c>
      <c r="B22" s="10"/>
      <c r="C22" s="33">
        <v>1554.62</v>
      </c>
      <c r="D22" s="10"/>
      <c r="E22" s="33">
        <v>3011.63</v>
      </c>
      <c r="F22" s="10"/>
      <c r="G22" s="60">
        <v>-3</v>
      </c>
      <c r="H22" s="10"/>
      <c r="I22" s="34" t="s">
        <v>16</v>
      </c>
      <c r="J22" s="10"/>
      <c r="K22" s="34" t="s">
        <v>16</v>
      </c>
      <c r="L22" s="10"/>
      <c r="M22" s="60">
        <v>-3</v>
      </c>
      <c r="N22" s="10"/>
      <c r="O22" s="33">
        <v>389.25</v>
      </c>
      <c r="P22" s="10"/>
      <c r="Q22" s="33">
        <v>318.75</v>
      </c>
      <c r="R22" s="10"/>
      <c r="S22" s="33">
        <v>569.41</v>
      </c>
      <c r="T22" s="10"/>
      <c r="U22" s="33">
        <v>147.79</v>
      </c>
      <c r="V22" s="10"/>
      <c r="W22" s="10"/>
      <c r="X22" s="10"/>
      <c r="Y22" s="10"/>
    </row>
    <row r="23" spans="1:25" s="1" customFormat="1" ht="11.25" customHeight="1" x14ac:dyDescent="0.2">
      <c r="A23" s="21" t="s">
        <v>33</v>
      </c>
      <c r="B23" s="10"/>
      <c r="C23" s="33">
        <v>1762</v>
      </c>
      <c r="D23" s="33"/>
      <c r="E23" s="33">
        <v>3247</v>
      </c>
      <c r="F23" s="33"/>
      <c r="G23" s="60">
        <v>-3</v>
      </c>
      <c r="H23" s="10"/>
      <c r="I23" s="34" t="s">
        <v>16</v>
      </c>
      <c r="J23" s="10"/>
      <c r="K23" s="34" t="s">
        <v>16</v>
      </c>
      <c r="L23" s="10"/>
      <c r="M23" s="60">
        <v>-3</v>
      </c>
      <c r="N23" s="33"/>
      <c r="O23" s="33">
        <v>417</v>
      </c>
      <c r="P23" s="33"/>
      <c r="Q23" s="33">
        <v>377</v>
      </c>
      <c r="R23" s="33"/>
      <c r="S23" s="33">
        <v>789</v>
      </c>
      <c r="T23" s="33"/>
      <c r="U23" s="33">
        <v>161</v>
      </c>
      <c r="V23" s="33"/>
      <c r="W23" s="10"/>
      <c r="X23" s="10"/>
      <c r="Y23" s="10"/>
    </row>
    <row r="24" spans="1:25" s="1" customFormat="1" ht="11.25" customHeight="1" x14ac:dyDescent="0.2">
      <c r="A24" s="21" t="s">
        <v>34</v>
      </c>
      <c r="B24" s="10"/>
      <c r="C24" s="33">
        <v>1813</v>
      </c>
      <c r="D24" s="33"/>
      <c r="E24" s="33">
        <v>3393</v>
      </c>
      <c r="F24" s="33"/>
      <c r="G24" s="60">
        <v>-3</v>
      </c>
      <c r="H24" s="10"/>
      <c r="I24" s="34" t="s">
        <v>16</v>
      </c>
      <c r="J24" s="10"/>
      <c r="K24" s="34" t="s">
        <v>16</v>
      </c>
      <c r="L24" s="10"/>
      <c r="M24" s="60">
        <v>-3</v>
      </c>
      <c r="N24" s="33"/>
      <c r="O24" s="35">
        <v>423</v>
      </c>
      <c r="P24" s="10"/>
      <c r="Q24" s="35">
        <v>405</v>
      </c>
      <c r="R24" s="10"/>
      <c r="S24" s="35">
        <v>765</v>
      </c>
      <c r="T24" s="10"/>
      <c r="U24" s="35">
        <v>170</v>
      </c>
      <c r="V24" s="10"/>
      <c r="W24" s="10"/>
      <c r="X24" s="10"/>
      <c r="Y24" s="10"/>
    </row>
    <row r="25" spans="1:25" s="1" customFormat="1" ht="11.25" customHeight="1" x14ac:dyDescent="0.2">
      <c r="A25" s="21" t="s">
        <v>35</v>
      </c>
      <c r="B25" s="10"/>
      <c r="C25" s="33">
        <v>1791</v>
      </c>
      <c r="D25" s="33"/>
      <c r="E25" s="33">
        <v>3450</v>
      </c>
      <c r="F25" s="33"/>
      <c r="G25" s="60">
        <v>-3</v>
      </c>
      <c r="H25" s="10"/>
      <c r="I25" s="34" t="s">
        <v>16</v>
      </c>
      <c r="J25" s="10"/>
      <c r="K25" s="34" t="s">
        <v>16</v>
      </c>
      <c r="L25" s="10"/>
      <c r="M25" s="60">
        <v>-3</v>
      </c>
      <c r="N25" s="33"/>
      <c r="O25" s="33">
        <v>420</v>
      </c>
      <c r="P25" s="33"/>
      <c r="Q25" s="33">
        <v>404</v>
      </c>
      <c r="R25" s="33"/>
      <c r="S25" s="33">
        <v>633</v>
      </c>
      <c r="T25" s="33"/>
      <c r="U25" s="33">
        <v>179</v>
      </c>
      <c r="V25" s="33"/>
      <c r="W25" s="10"/>
      <c r="X25" s="10"/>
      <c r="Y25" s="10"/>
    </row>
    <row r="26" spans="1:25" s="1" customFormat="1" ht="11.25" customHeight="1" x14ac:dyDescent="0.2">
      <c r="A26" s="21">
        <v>1995</v>
      </c>
      <c r="B26" s="10"/>
      <c r="C26" s="33">
        <v>1777</v>
      </c>
      <c r="D26" s="33"/>
      <c r="E26" s="33">
        <v>3461</v>
      </c>
      <c r="F26" s="33"/>
      <c r="G26" s="60">
        <v>-3</v>
      </c>
      <c r="H26" s="10"/>
      <c r="I26" s="34" t="s">
        <v>16</v>
      </c>
      <c r="J26" s="10"/>
      <c r="K26" s="34" t="s">
        <v>16</v>
      </c>
      <c r="L26" s="10"/>
      <c r="M26" s="60">
        <v>-3</v>
      </c>
      <c r="N26" s="33"/>
      <c r="O26" s="33">
        <v>424</v>
      </c>
      <c r="P26" s="33"/>
      <c r="Q26" s="33">
        <v>403</v>
      </c>
      <c r="R26" s="33"/>
      <c r="S26" s="33">
        <v>568</v>
      </c>
      <c r="T26" s="33"/>
      <c r="U26" s="33">
        <v>189</v>
      </c>
      <c r="V26" s="33"/>
      <c r="W26" s="10"/>
      <c r="X26" s="10"/>
      <c r="Y26" s="10"/>
    </row>
    <row r="27" spans="1:25" s="1" customFormat="1" ht="11.25" customHeight="1" x14ac:dyDescent="0.2">
      <c r="A27" s="21">
        <v>1996</v>
      </c>
      <c r="B27" s="10"/>
      <c r="C27" s="33">
        <v>1722</v>
      </c>
      <c r="D27" s="33"/>
      <c r="E27" s="33">
        <v>3456</v>
      </c>
      <c r="F27" s="33"/>
      <c r="G27" s="60">
        <v>-3</v>
      </c>
      <c r="H27" s="10"/>
      <c r="I27" s="34" t="s">
        <v>16</v>
      </c>
      <c r="J27" s="10"/>
      <c r="K27" s="34" t="s">
        <v>16</v>
      </c>
      <c r="L27" s="10"/>
      <c r="M27" s="60">
        <v>-3</v>
      </c>
      <c r="N27" s="33"/>
      <c r="O27" s="33">
        <v>429</v>
      </c>
      <c r="P27" s="33"/>
      <c r="Q27" s="33">
        <v>398</v>
      </c>
      <c r="R27" s="33"/>
      <c r="S27" s="33">
        <v>540</v>
      </c>
      <c r="T27" s="33"/>
      <c r="U27" s="33">
        <v>197</v>
      </c>
      <c r="V27" s="33"/>
      <c r="W27" s="10"/>
      <c r="X27" s="10"/>
      <c r="Y27" s="10"/>
    </row>
    <row r="28" spans="1:25" s="1" customFormat="1" ht="11.25" customHeight="1" x14ac:dyDescent="0.2">
      <c r="A28" s="21">
        <v>1997</v>
      </c>
      <c r="B28" s="10"/>
      <c r="C28" s="33">
        <f>12307238768/6802948</f>
        <v>1809.1037544311671</v>
      </c>
      <c r="D28" s="33"/>
      <c r="E28" s="33">
        <v>3654</v>
      </c>
      <c r="F28" s="33"/>
      <c r="G28" s="60">
        <v>-3</v>
      </c>
      <c r="H28" s="10"/>
      <c r="I28" s="34" t="s">
        <v>16</v>
      </c>
      <c r="J28" s="10"/>
      <c r="K28" s="34" t="s">
        <v>16</v>
      </c>
      <c r="L28" s="10"/>
      <c r="M28" s="60">
        <v>-3</v>
      </c>
      <c r="N28" s="33"/>
      <c r="O28" s="33">
        <v>488</v>
      </c>
      <c r="P28" s="33"/>
      <c r="Q28" s="33">
        <v>425</v>
      </c>
      <c r="R28" s="33"/>
      <c r="S28" s="33">
        <v>594</v>
      </c>
      <c r="T28" s="33"/>
      <c r="U28" s="33">
        <v>226</v>
      </c>
      <c r="V28" s="33"/>
      <c r="W28" s="10"/>
      <c r="X28" s="10"/>
      <c r="Y28" s="10"/>
    </row>
    <row r="29" spans="1:25" s="1" customFormat="1" ht="11.25" customHeight="1" x14ac:dyDescent="0.2">
      <c r="A29" s="21">
        <v>1998</v>
      </c>
      <c r="B29" s="10"/>
      <c r="C29" s="33">
        <f>14864732458/7895446</f>
        <v>1882.6969949512668</v>
      </c>
      <c r="D29" s="33"/>
      <c r="E29" s="33">
        <f>4201258106/1134962</f>
        <v>3701.6729247322819</v>
      </c>
      <c r="F29" s="33"/>
      <c r="G29" s="60">
        <v>-3</v>
      </c>
      <c r="H29" s="10"/>
      <c r="I29" s="34" t="s">
        <v>16</v>
      </c>
      <c r="J29" s="10"/>
      <c r="K29" s="34" t="s">
        <v>16</v>
      </c>
      <c r="L29" s="10"/>
      <c r="M29" s="60">
        <v>-3</v>
      </c>
      <c r="N29" s="33"/>
      <c r="O29" s="33">
        <f>1533073398/3352196</f>
        <v>457.33405743578237</v>
      </c>
      <c r="P29" s="33"/>
      <c r="Q29" s="33">
        <f>1183156343/2679121</f>
        <v>441.62109251504506</v>
      </c>
      <c r="R29" s="33"/>
      <c r="S29" s="33">
        <f>61145430/120167</f>
        <v>508.83711834363845</v>
      </c>
      <c r="T29" s="33"/>
      <c r="U29" s="33">
        <f>916777530/3513128</f>
        <v>260.95762238096648</v>
      </c>
      <c r="V29" s="33"/>
      <c r="W29" s="10"/>
      <c r="X29" s="10"/>
      <c r="Y29" s="10"/>
    </row>
    <row r="30" spans="1:25" s="1" customFormat="1" ht="11.25" customHeight="1" x14ac:dyDescent="0.2">
      <c r="A30" s="21">
        <v>1999</v>
      </c>
      <c r="B30" s="10"/>
      <c r="C30" s="33">
        <f>15801202536/7510735</f>
        <v>2103.8157431995669</v>
      </c>
      <c r="D30" s="33"/>
      <c r="E30" s="33">
        <f>4319257571/1134291</f>
        <v>3807.891952770497</v>
      </c>
      <c r="F30" s="33"/>
      <c r="G30" s="60">
        <v>-3</v>
      </c>
      <c r="H30" s="10"/>
      <c r="I30" s="34" t="s">
        <v>16</v>
      </c>
      <c r="J30" s="10"/>
      <c r="K30" s="34" t="s">
        <v>16</v>
      </c>
      <c r="L30" s="10"/>
      <c r="M30" s="60">
        <v>-3</v>
      </c>
      <c r="N30" s="33"/>
      <c r="O30" s="33">
        <f>1578252395/3105201</f>
        <v>508.26094510468084</v>
      </c>
      <c r="P30" s="33"/>
      <c r="Q30" s="33">
        <f>1257565752/2571015</f>
        <v>489.13201673269117</v>
      </c>
      <c r="R30" s="33"/>
      <c r="S30" s="33">
        <f>61997025/86341</f>
        <v>718.0484937631021</v>
      </c>
      <c r="T30" s="33"/>
      <c r="U30" s="33">
        <f>1189307724/3545478</f>
        <v>335.44354921959746</v>
      </c>
      <c r="V30" s="33"/>
      <c r="W30" s="10"/>
      <c r="X30" s="10"/>
      <c r="Y30" s="10"/>
    </row>
    <row r="31" spans="1:25" s="1" customFormat="1" ht="11.25" customHeight="1" x14ac:dyDescent="0.2">
      <c r="A31" s="21">
        <v>2000</v>
      </c>
      <c r="B31" s="10"/>
      <c r="C31" s="33">
        <f>17762792055/8749630</f>
        <v>2030.1192227557051</v>
      </c>
      <c r="D31" s="33"/>
      <c r="E31" s="33">
        <f>4767125908/1268065</f>
        <v>3759.370306727179</v>
      </c>
      <c r="F31" s="33"/>
      <c r="G31" s="60">
        <v>-3</v>
      </c>
      <c r="H31" s="10"/>
      <c r="I31" s="34" t="s">
        <v>16</v>
      </c>
      <c r="J31" s="10"/>
      <c r="K31" s="34" t="s">
        <v>16</v>
      </c>
      <c r="L31" s="10"/>
      <c r="M31" s="60">
        <v>-3</v>
      </c>
      <c r="N31" s="33"/>
      <c r="O31" s="33">
        <f>1697167975/3580258</f>
        <v>474.03510445336622</v>
      </c>
      <c r="P31" s="33"/>
      <c r="Q31" s="33">
        <f>1442724618/2793336</f>
        <v>516.488033662975</v>
      </c>
      <c r="R31" s="33"/>
      <c r="S31" s="33">
        <f>64666169/100807</f>
        <v>641.48490680210705</v>
      </c>
      <c r="T31" s="33"/>
      <c r="U31" s="33">
        <f>1444183592/3962162</f>
        <v>364.49382735991105</v>
      </c>
      <c r="V31" s="33"/>
      <c r="W31" s="10"/>
      <c r="X31" s="10"/>
      <c r="Y31" s="10"/>
    </row>
    <row r="32" spans="1:25" s="1" customFormat="1" ht="11.25" customHeight="1" x14ac:dyDescent="0.2">
      <c r="A32" s="21">
        <v>2001</v>
      </c>
      <c r="B32" s="10"/>
      <c r="C32" s="33">
        <f>20169989957/9758338</f>
        <v>2066.9493060191194</v>
      </c>
      <c r="D32" s="33"/>
      <c r="E32" s="33">
        <f>5274502957/1332282</f>
        <v>3958.9988883734827</v>
      </c>
      <c r="F32" s="33"/>
      <c r="G32" s="60">
        <v>-3</v>
      </c>
      <c r="H32" s="10"/>
      <c r="I32" s="34"/>
      <c r="J32" s="10"/>
      <c r="K32" s="34"/>
      <c r="L32" s="10"/>
      <c r="M32" s="60">
        <v>-3</v>
      </c>
      <c r="N32" s="33"/>
      <c r="O32" s="33">
        <f>1907655484/3998349</f>
        <v>477.11079848207345</v>
      </c>
      <c r="P32" s="33"/>
      <c r="Q32" s="33">
        <f>1638902117/3006197</f>
        <v>545.17455675725842</v>
      </c>
      <c r="R32" s="33"/>
      <c r="S32" s="33">
        <f>73859056/92330</f>
        <v>799.94645294053942</v>
      </c>
      <c r="T32" s="33"/>
      <c r="U32" s="33">
        <f>1777360185/4322102</f>
        <v>411.2258768997122</v>
      </c>
      <c r="V32" s="33"/>
      <c r="W32" s="10"/>
      <c r="X32" s="10"/>
      <c r="Y32" s="10"/>
    </row>
    <row r="33" spans="1:25" s="1" customFormat="1" ht="11.25" customHeight="1" x14ac:dyDescent="0.2">
      <c r="A33" s="21">
        <v>2002</v>
      </c>
      <c r="B33" s="10"/>
      <c r="C33" s="33">
        <f>23635057822/11255079</f>
        <v>2099.9459730136055</v>
      </c>
      <c r="D33" s="33"/>
      <c r="E33" s="33">
        <f>5987734803/1407175</f>
        <v>4255.145808446</v>
      </c>
      <c r="F33" s="33"/>
      <c r="G33" s="60">
        <v>-3</v>
      </c>
      <c r="H33" s="10"/>
      <c r="I33" s="34"/>
      <c r="J33" s="10"/>
      <c r="K33" s="34"/>
      <c r="L33" s="10"/>
      <c r="M33" s="60">
        <v>-3</v>
      </c>
      <c r="N33" s="33"/>
      <c r="O33" s="33">
        <f>2224306205/4862481</f>
        <v>457.44265221807552</v>
      </c>
      <c r="P33" s="33"/>
      <c r="Q33" s="33">
        <f>1981588851/3466903</f>
        <v>571.57320265378064</v>
      </c>
      <c r="R33" s="33"/>
      <c r="S33" s="33">
        <f>57016206/90989</f>
        <v>626.62746046225368</v>
      </c>
      <c r="T33" s="33"/>
      <c r="U33" s="33">
        <f>2333075357/5146075</f>
        <v>453.36987062955745</v>
      </c>
      <c r="V33" s="33"/>
      <c r="W33" s="10"/>
      <c r="X33" s="10"/>
      <c r="Y33" s="10"/>
    </row>
    <row r="34" spans="1:25" s="1" customFormat="1" ht="11.25" customHeight="1" x14ac:dyDescent="0.2">
      <c r="A34" s="21">
        <v>2003</v>
      </c>
      <c r="B34" s="10"/>
      <c r="C34" s="33">
        <f>26799584882/11691086</f>
        <v>2292.3092758020939</v>
      </c>
      <c r="D34" s="33"/>
      <c r="E34" s="33">
        <f>6499567635/1496858</f>
        <v>4342.1404268140332</v>
      </c>
      <c r="F34" s="33"/>
      <c r="G34" s="60">
        <v>-3</v>
      </c>
      <c r="H34" s="10"/>
      <c r="I34" s="34"/>
      <c r="J34" s="10"/>
      <c r="K34" s="34"/>
      <c r="L34" s="10"/>
      <c r="M34" s="60">
        <v>-3</v>
      </c>
      <c r="N34" s="33"/>
      <c r="O34" s="33">
        <f>2496154070/4877374</f>
        <v>511.78237920651566</v>
      </c>
      <c r="P34" s="33"/>
      <c r="Q34" s="33">
        <f>2262332413/3660938</f>
        <v>617.96523541234512</v>
      </c>
      <c r="R34" s="33"/>
      <c r="S34" s="33">
        <f>56816911/97718</f>
        <v>581.43751407110256</v>
      </c>
      <c r="T34" s="33"/>
      <c r="U34" s="33">
        <f>3049865344/5464104</f>
        <v>558.16385339664112</v>
      </c>
      <c r="V34" s="33"/>
      <c r="W34" s="10"/>
      <c r="X34" s="10"/>
      <c r="Y34" s="10"/>
    </row>
    <row r="35" spans="1:25" s="1" customFormat="1" ht="11.25" customHeight="1" x14ac:dyDescent="0.2">
      <c r="A35" s="21">
        <v>2004</v>
      </c>
      <c r="B35" s="10"/>
      <c r="C35" s="33">
        <f>30720502758/12244425</f>
        <v>2508.9379662989481</v>
      </c>
      <c r="D35" s="33"/>
      <c r="E35" s="33">
        <f>6869999536/1554453</f>
        <v>4419.560794697556</v>
      </c>
      <c r="F35" s="33"/>
      <c r="G35" s="60">
        <v>-3</v>
      </c>
      <c r="H35" s="10"/>
      <c r="I35" s="34"/>
      <c r="J35" s="10"/>
      <c r="K35" s="34"/>
      <c r="L35" s="10"/>
      <c r="M35" s="60">
        <v>-3</v>
      </c>
      <c r="N35" s="33"/>
      <c r="O35" s="33">
        <f>2646834330/4890952</f>
        <v>541.16955758306358</v>
      </c>
      <c r="P35" s="33"/>
      <c r="Q35" s="33">
        <f>2530262176/3717753</f>
        <v>680.58910207321469</v>
      </c>
      <c r="R35" s="33"/>
      <c r="S35" s="33">
        <f>58305017/90306</f>
        <v>645.63835182601383</v>
      </c>
      <c r="T35" s="33"/>
      <c r="U35" s="33">
        <f>3588324667/5723912</f>
        <v>626.90073973883591</v>
      </c>
      <c r="V35" s="33"/>
      <c r="W35" s="10"/>
      <c r="X35" s="10"/>
      <c r="Y35" s="10"/>
    </row>
    <row r="36" spans="1:25" s="1" customFormat="1" ht="11.25" customHeight="1" x14ac:dyDescent="0.2">
      <c r="A36" s="21">
        <v>2005</v>
      </c>
      <c r="B36" s="10"/>
      <c r="C36" s="33">
        <f>32214665932/12461147</f>
        <v>2585.2087237234259</v>
      </c>
      <c r="D36" s="33"/>
      <c r="E36" s="33">
        <f>6812782484/1564882</f>
        <v>4353.5438991566134</v>
      </c>
      <c r="F36" s="33"/>
      <c r="G36" s="60">
        <v>-3</v>
      </c>
      <c r="H36" s="10"/>
      <c r="I36" s="34"/>
      <c r="J36" s="10"/>
      <c r="K36" s="34"/>
      <c r="L36" s="10"/>
      <c r="M36" s="60">
        <v>-3</v>
      </c>
      <c r="N36" s="33"/>
      <c r="O36" s="33">
        <f>3032540961/4903718</f>
        <v>618.41667098311939</v>
      </c>
      <c r="P36" s="33"/>
      <c r="Q36" s="33">
        <f>2372989486/3630548</f>
        <v>653.61743902022499</v>
      </c>
      <c r="R36" s="33"/>
      <c r="S36" s="33">
        <f>58258100/96734</f>
        <v>602.25050137490439</v>
      </c>
      <c r="T36" s="33"/>
      <c r="U36" s="33">
        <f>3670197653/5844433</f>
        <v>627.98181671344332</v>
      </c>
      <c r="V36" s="33"/>
      <c r="W36" s="10"/>
      <c r="X36" s="10"/>
      <c r="Y36" s="10"/>
    </row>
    <row r="37" spans="1:25" s="1" customFormat="1" ht="11.25" customHeight="1" x14ac:dyDescent="0.2">
      <c r="A37" s="21">
        <v>2006</v>
      </c>
      <c r="B37" s="10"/>
      <c r="C37" s="33">
        <f>32682314388/12489750</f>
        <v>2616.7308703536901</v>
      </c>
      <c r="D37" s="33"/>
      <c r="E37" s="33">
        <f>7011187931/1797893</f>
        <v>3899.669185541075</v>
      </c>
      <c r="F37" s="33"/>
      <c r="G37" s="60">
        <v>-3</v>
      </c>
      <c r="H37" s="10"/>
      <c r="I37" s="34"/>
      <c r="J37" s="10"/>
      <c r="K37" s="34"/>
      <c r="L37" s="10"/>
      <c r="M37" s="60">
        <v>-3</v>
      </c>
      <c r="N37" s="33"/>
      <c r="O37" s="33">
        <f>2649621463/4697848</f>
        <v>564.00749087667373</v>
      </c>
      <c r="P37" s="33"/>
      <c r="Q37" s="33">
        <f>2419553974/3611351</f>
        <v>669.98582358790384</v>
      </c>
      <c r="R37" s="33"/>
      <c r="S37" s="33">
        <f>59787440/89815</f>
        <v>665.67321716862443</v>
      </c>
      <c r="T37" s="33"/>
      <c r="U37" s="33">
        <f>3221737876/5624208</f>
        <v>572.83405521275176</v>
      </c>
      <c r="V37" s="33"/>
      <c r="W37" s="10"/>
      <c r="X37" s="10"/>
      <c r="Y37" s="10"/>
    </row>
    <row r="38" spans="1:25" s="1" customFormat="1" ht="11.25" customHeight="1" x14ac:dyDescent="0.2">
      <c r="A38" s="21">
        <v>2007</v>
      </c>
      <c r="B38" s="10"/>
      <c r="C38" s="33">
        <f>34153220739/12405352</f>
        <v>2753.103719991178</v>
      </c>
      <c r="D38" s="33"/>
      <c r="E38" s="33">
        <f>6921808237/1470663</f>
        <v>4706.5903181082276</v>
      </c>
      <c r="F38" s="33"/>
      <c r="G38" s="60">
        <v>-3</v>
      </c>
      <c r="H38" s="10"/>
      <c r="I38" s="34"/>
      <c r="J38" s="10"/>
      <c r="K38" s="34"/>
      <c r="L38" s="10"/>
      <c r="M38" s="60">
        <v>-3</v>
      </c>
      <c r="N38" s="33"/>
      <c r="O38" s="33">
        <f>2414827638/4477302</f>
        <v>539.34883954667339</v>
      </c>
      <c r="P38" s="33"/>
      <c r="Q38" s="33">
        <f>2416623439/3349523</f>
        <v>721.48286158954579</v>
      </c>
      <c r="R38" s="33"/>
      <c r="S38" s="33">
        <f>56994763/88913</f>
        <v>641.01720783237545</v>
      </c>
      <c r="T38" s="33"/>
      <c r="U38" s="33">
        <f>3207452545/5420107</f>
        <v>591.76922983254758</v>
      </c>
      <c r="V38" s="33"/>
      <c r="W38" s="10"/>
      <c r="X38" s="10"/>
      <c r="Y38" s="10"/>
    </row>
    <row r="39" spans="1:25" s="1" customFormat="1" ht="11.25" customHeight="1" x14ac:dyDescent="0.2">
      <c r="A39" s="21">
        <v>2008</v>
      </c>
      <c r="B39" s="10"/>
      <c r="C39" s="33">
        <f>37697615209/12947079</f>
        <v>2911.6695131774509</v>
      </c>
      <c r="D39" s="33"/>
      <c r="E39" s="33">
        <f>7094514444/1506360</f>
        <v>4709.7071377359989</v>
      </c>
      <c r="F39" s="33"/>
      <c r="G39" s="60">
        <v>-3</v>
      </c>
      <c r="H39" s="10"/>
      <c r="I39" s="34"/>
      <c r="J39" s="10"/>
      <c r="K39" s="34"/>
      <c r="L39" s="10"/>
      <c r="M39" s="60">
        <v>-3</v>
      </c>
      <c r="N39" s="33"/>
      <c r="O39" s="33">
        <f>2487071585/4377904</f>
        <v>568.09641897127028</v>
      </c>
      <c r="P39" s="33"/>
      <c r="Q39" s="33">
        <f>2517919040/3337022</f>
        <v>754.54073722019211</v>
      </c>
      <c r="R39" s="33"/>
      <c r="S39" s="33">
        <f>55585138/84788</f>
        <v>655.5778883804312</v>
      </c>
      <c r="T39" s="33"/>
      <c r="U39" s="33">
        <f>3391898989/5542713</f>
        <v>611.95645327477712</v>
      </c>
      <c r="V39" s="33"/>
      <c r="W39" s="10"/>
      <c r="X39" s="10"/>
      <c r="Y39" s="10"/>
    </row>
    <row r="40" spans="1:25" s="1" customFormat="1" ht="11.25" customHeight="1" x14ac:dyDescent="0.2">
      <c r="A40" s="21">
        <v>2009</v>
      </c>
      <c r="B40" s="10"/>
      <c r="C40" s="33">
        <f>45422800957/14447006</f>
        <v>3144.0978813880192</v>
      </c>
      <c r="D40" s="33"/>
      <c r="E40" s="33">
        <f>7794630960/1563562</f>
        <v>4985.1754903227375</v>
      </c>
      <c r="F40" s="33"/>
      <c r="G40" s="60">
        <v>-3</v>
      </c>
      <c r="H40" s="10"/>
      <c r="I40" s="34"/>
      <c r="J40" s="10"/>
      <c r="K40" s="34"/>
      <c r="L40" s="10"/>
      <c r="M40" s="60">
        <v>-3</v>
      </c>
      <c r="N40" s="33"/>
      <c r="O40" s="33">
        <f>2710175835/4856707</f>
        <v>558.02745255169805</v>
      </c>
      <c r="P40" s="33"/>
      <c r="Q40" s="33">
        <f>3006036882/3798850</f>
        <v>791.30181028469144</v>
      </c>
      <c r="R40" s="33"/>
      <c r="S40" s="33">
        <f>56570330/77351</f>
        <v>731.34581324094063</v>
      </c>
      <c r="T40" s="33"/>
      <c r="U40" s="33">
        <f>4386410849/6583742</f>
        <v>666.248897511476</v>
      </c>
      <c r="V40" s="33"/>
      <c r="W40" s="10"/>
      <c r="X40" s="10"/>
      <c r="Y40" s="10"/>
    </row>
    <row r="41" spans="1:25" s="1" customFormat="1" ht="11.25" customHeight="1" x14ac:dyDescent="0.2">
      <c r="A41" s="21">
        <v>2010</v>
      </c>
      <c r="B41" s="10"/>
      <c r="C41" s="33">
        <f>48211234252/15539760</f>
        <v>3102.443940704361</v>
      </c>
      <c r="D41" s="33"/>
      <c r="E41" s="33">
        <f>6029338561/1256686</f>
        <v>4797.8083315959593</v>
      </c>
      <c r="F41" s="33"/>
      <c r="G41" s="60">
        <v>-3</v>
      </c>
      <c r="H41" s="10"/>
      <c r="I41" s="34"/>
      <c r="J41" s="10"/>
      <c r="K41" s="34"/>
      <c r="L41" s="10"/>
      <c r="M41" s="60">
        <v>-3</v>
      </c>
      <c r="N41" s="33"/>
      <c r="O41" s="33">
        <f>2827215668/5121995</f>
        <v>551.97548377146018</v>
      </c>
      <c r="P41" s="33"/>
      <c r="Q41" s="33">
        <f>3127242958/3757193</f>
        <v>832.33492610041594</v>
      </c>
      <c r="R41" s="33"/>
      <c r="S41" s="33">
        <f>56542068/81153</f>
        <v>696.73416879228125</v>
      </c>
      <c r="T41" s="33"/>
      <c r="U41" s="33">
        <f>5135313959/7445101</f>
        <v>689.75746050993803</v>
      </c>
      <c r="V41" s="10"/>
      <c r="W41" s="10"/>
      <c r="X41" s="10"/>
      <c r="Y41" s="10"/>
    </row>
    <row r="42" spans="1:25" s="1" customFormat="1" ht="10.35" customHeight="1" x14ac:dyDescent="0.2">
      <c r="A42" s="9" t="s">
        <v>36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s="1" customFormat="1" ht="11.25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s="1" customFormat="1" ht="11.25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s="1" customFormat="1" ht="11.25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s="2" customFormat="1" ht="15" customHeight="1" x14ac:dyDescent="0.2">
      <c r="A46" s="71" t="s">
        <v>51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6"/>
      <c r="X46" s="6"/>
      <c r="Y46" s="6"/>
    </row>
    <row r="47" spans="1:25" s="48" customFormat="1" ht="12.95" customHeight="1" x14ac:dyDescent="0.2">
      <c r="A47" s="68" t="s">
        <v>43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47"/>
      <c r="X47" s="47"/>
      <c r="Y47" s="47"/>
    </row>
    <row r="48" spans="1:25" s="3" customFormat="1" ht="12.95" customHeight="1" x14ac:dyDescent="0.2">
      <c r="A48" s="69" t="s">
        <v>62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"/>
      <c r="X48" s="7"/>
      <c r="Y48" s="7"/>
    </row>
    <row r="49" spans="1:25" s="1" customFormat="1" ht="10.5" customHeight="1" x14ac:dyDescent="0.2">
      <c r="A49" s="18" t="s">
        <v>0</v>
      </c>
      <c r="B49" s="19"/>
      <c r="C49" s="19"/>
      <c r="D49" s="19"/>
      <c r="E49" s="49" t="s">
        <v>1</v>
      </c>
      <c r="F49" s="19"/>
      <c r="G49" s="19"/>
      <c r="H49" s="19"/>
      <c r="I49" s="19"/>
      <c r="J49" s="19"/>
      <c r="K49" s="20" t="s">
        <v>2</v>
      </c>
      <c r="L49" s="19"/>
      <c r="M49" s="18" t="s">
        <v>37</v>
      </c>
      <c r="N49" s="19"/>
      <c r="O49" s="19"/>
      <c r="P49" s="19"/>
      <c r="Q49" s="20" t="s">
        <v>4</v>
      </c>
      <c r="R49" s="19"/>
      <c r="S49" s="20" t="s">
        <v>5</v>
      </c>
      <c r="T49" s="19"/>
      <c r="U49" s="18" t="s">
        <v>6</v>
      </c>
      <c r="V49" s="19"/>
      <c r="W49" s="10"/>
      <c r="X49" s="10"/>
      <c r="Y49" s="10"/>
    </row>
    <row r="50" spans="1:25" s="1" customFormat="1" ht="13.7" customHeight="1" x14ac:dyDescent="0.2">
      <c r="A50" s="21" t="s">
        <v>7</v>
      </c>
      <c r="B50" s="10"/>
      <c r="C50" s="21" t="s">
        <v>41</v>
      </c>
      <c r="D50" s="10"/>
      <c r="E50" s="50" t="s">
        <v>8</v>
      </c>
      <c r="F50" s="10"/>
      <c r="G50" s="36" t="s">
        <v>9</v>
      </c>
      <c r="H50" s="24"/>
      <c r="I50" s="22" t="s">
        <v>10</v>
      </c>
      <c r="J50" s="10"/>
      <c r="K50" s="22" t="s">
        <v>11</v>
      </c>
      <c r="L50" s="10"/>
      <c r="M50" s="21" t="s">
        <v>39</v>
      </c>
      <c r="N50" s="10"/>
      <c r="O50" s="22" t="s">
        <v>12</v>
      </c>
      <c r="P50" s="10"/>
      <c r="Q50" s="22" t="s">
        <v>8</v>
      </c>
      <c r="R50" s="10"/>
      <c r="S50" s="27" t="s">
        <v>52</v>
      </c>
      <c r="T50" s="10"/>
      <c r="U50" s="50" t="s">
        <v>13</v>
      </c>
      <c r="V50" s="24"/>
      <c r="W50" s="10"/>
      <c r="X50" s="10"/>
      <c r="Y50" s="10"/>
    </row>
    <row r="51" spans="1:25" s="1" customFormat="1" ht="12" customHeight="1" x14ac:dyDescent="0.2">
      <c r="A51" s="29"/>
      <c r="B51" s="29"/>
      <c r="C51" s="51" t="s">
        <v>65</v>
      </c>
      <c r="D51" s="52"/>
      <c r="E51" s="52"/>
      <c r="F51" s="52"/>
      <c r="G51" s="52"/>
      <c r="H51" s="53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4"/>
      <c r="W51" s="10"/>
      <c r="X51" s="10"/>
      <c r="Y51" s="10"/>
    </row>
    <row r="52" spans="1:25" s="1" customFormat="1" ht="11.25" customHeight="1" x14ac:dyDescent="0.2">
      <c r="A52" s="21" t="s">
        <v>14</v>
      </c>
      <c r="B52" s="10"/>
      <c r="C52" s="37">
        <f>C6/0.13923</f>
        <v>3267.9738562091507</v>
      </c>
      <c r="D52" s="38"/>
      <c r="E52" s="37">
        <f>E6/0.13923</f>
        <v>7792.8607340372055</v>
      </c>
      <c r="F52" s="38"/>
      <c r="G52" s="60">
        <v>-3</v>
      </c>
      <c r="H52" s="10"/>
      <c r="I52" s="31" t="s">
        <v>15</v>
      </c>
      <c r="J52" s="10"/>
      <c r="K52" s="32" t="s">
        <v>16</v>
      </c>
      <c r="L52" s="10"/>
      <c r="M52" s="60">
        <v>-3</v>
      </c>
      <c r="N52" s="38"/>
      <c r="O52" s="37">
        <f>O6/0.13923</f>
        <v>833.15377433024491</v>
      </c>
      <c r="P52" s="38"/>
      <c r="Q52" s="37">
        <f>Q6/0.13923</f>
        <v>409.39452704158589</v>
      </c>
      <c r="R52" s="38"/>
      <c r="S52" s="37">
        <f>S6/0.13923</f>
        <v>869.06557494792798</v>
      </c>
      <c r="T52" s="38"/>
      <c r="U52" s="37">
        <f>U6/0.13923</f>
        <v>366.30036630036631</v>
      </c>
      <c r="V52" s="10"/>
      <c r="W52" s="10"/>
      <c r="X52" s="10"/>
      <c r="Y52" s="10"/>
    </row>
    <row r="53" spans="1:25" s="1" customFormat="1" ht="11.25" customHeight="1" x14ac:dyDescent="0.2">
      <c r="A53" s="21" t="s">
        <v>17</v>
      </c>
      <c r="B53" s="10"/>
      <c r="C53" s="39">
        <f>C7/0.15326</f>
        <v>3125.4078037322197</v>
      </c>
      <c r="D53" s="33"/>
      <c r="E53" s="39">
        <f>E7/0.15326</f>
        <v>7842.8813780503715</v>
      </c>
      <c r="F53" s="33"/>
      <c r="G53" s="60">
        <v>-3</v>
      </c>
      <c r="H53" s="10"/>
      <c r="I53" s="34" t="s">
        <v>16</v>
      </c>
      <c r="J53" s="10"/>
      <c r="K53" s="34" t="s">
        <v>16</v>
      </c>
      <c r="L53" s="10"/>
      <c r="M53" s="60">
        <v>-3</v>
      </c>
      <c r="N53" s="33"/>
      <c r="O53" s="39">
        <f>O7/0.15326</f>
        <v>815.6074644395145</v>
      </c>
      <c r="P53" s="33"/>
      <c r="Q53" s="39">
        <f>Q7/0.15326</f>
        <v>482.83961894819259</v>
      </c>
      <c r="R53" s="33"/>
      <c r="S53" s="39">
        <f>S7/0.15326</f>
        <v>1853.0601592065771</v>
      </c>
      <c r="T53" s="33"/>
      <c r="U53" s="39">
        <f>U7/0.15326</f>
        <v>300.14354691374132</v>
      </c>
      <c r="V53" s="10"/>
      <c r="W53" s="10"/>
      <c r="X53" s="10"/>
      <c r="Y53" s="10"/>
    </row>
    <row r="54" spans="1:25" s="1" customFormat="1" ht="11.25" customHeight="1" x14ac:dyDescent="0.2">
      <c r="A54" s="21">
        <v>1977</v>
      </c>
      <c r="B54" s="10"/>
      <c r="C54" s="39">
        <f>C8/0.16632</f>
        <v>3276.8157768157771</v>
      </c>
      <c r="D54" s="33"/>
      <c r="E54" s="39">
        <f>E8/0.16632</f>
        <v>7828.2828282828286</v>
      </c>
      <c r="F54" s="33"/>
      <c r="G54" s="60">
        <v>-3</v>
      </c>
      <c r="H54" s="10"/>
      <c r="I54" s="34" t="s">
        <v>16</v>
      </c>
      <c r="J54" s="10"/>
      <c r="K54" s="34" t="s">
        <v>16</v>
      </c>
      <c r="L54" s="10"/>
      <c r="M54" s="60">
        <v>-3</v>
      </c>
      <c r="N54" s="33"/>
      <c r="O54" s="39">
        <f>O8/0.16632</f>
        <v>793.65079365079362</v>
      </c>
      <c r="P54" s="33"/>
      <c r="Q54" s="39">
        <f>Q8/0.16632</f>
        <v>709.47570947570955</v>
      </c>
      <c r="R54" s="33"/>
      <c r="S54" s="39">
        <f>S8/0.16632</f>
        <v>1899.9518999519</v>
      </c>
      <c r="T54" s="33"/>
      <c r="U54" s="39">
        <f>U8/0.16632</f>
        <v>300.62530062530061</v>
      </c>
      <c r="V54" s="10"/>
      <c r="W54" s="10"/>
      <c r="X54" s="10"/>
      <c r="Y54" s="10"/>
    </row>
    <row r="55" spans="1:25" s="1" customFormat="1" ht="11.25" customHeight="1" x14ac:dyDescent="0.2">
      <c r="A55" s="21" t="s">
        <v>19</v>
      </c>
      <c r="B55" s="10"/>
      <c r="C55" s="39">
        <f>C9/0.1797</f>
        <v>3205.3422370617695</v>
      </c>
      <c r="D55" s="33"/>
      <c r="E55" s="39">
        <f>E9/0.1797</f>
        <v>7813.0217028380639</v>
      </c>
      <c r="F55" s="33"/>
      <c r="G55" s="60">
        <v>-3</v>
      </c>
      <c r="H55" s="10"/>
      <c r="I55" s="34" t="s">
        <v>16</v>
      </c>
      <c r="J55" s="10"/>
      <c r="K55" s="34" t="s">
        <v>16</v>
      </c>
      <c r="L55" s="10"/>
      <c r="M55" s="60">
        <v>-3</v>
      </c>
      <c r="N55" s="33"/>
      <c r="O55" s="39">
        <f>O9/0.1797</f>
        <v>779.07623817473564</v>
      </c>
      <c r="P55" s="33"/>
      <c r="Q55" s="39">
        <f>Q9/0.1797</f>
        <v>628.82582081246528</v>
      </c>
      <c r="R55" s="33"/>
      <c r="S55" s="39">
        <f>S9/0.1797</f>
        <v>2543.1274346132445</v>
      </c>
      <c r="T55" s="33"/>
      <c r="U55" s="39">
        <f>U9/0.1797</f>
        <v>289.37117417918756</v>
      </c>
      <c r="V55" s="10"/>
      <c r="W55" s="10"/>
      <c r="X55" s="10"/>
      <c r="Y55" s="10"/>
    </row>
    <row r="56" spans="1:25" s="1" customFormat="1" ht="11.25" customHeight="1" x14ac:dyDescent="0.2">
      <c r="A56" s="21" t="s">
        <v>20</v>
      </c>
      <c r="B56" s="10"/>
      <c r="C56" s="39">
        <f>C10/0.19709</f>
        <v>3353.7977573697299</v>
      </c>
      <c r="D56" s="33"/>
      <c r="E56" s="39">
        <f>E10/0.19709</f>
        <v>8321.0715916586341</v>
      </c>
      <c r="F56" s="33"/>
      <c r="G56" s="60">
        <v>-3</v>
      </c>
      <c r="H56" s="10"/>
      <c r="I56" s="34" t="s">
        <v>16</v>
      </c>
      <c r="J56" s="10"/>
      <c r="K56" s="34" t="s">
        <v>16</v>
      </c>
      <c r="L56" s="10"/>
      <c r="M56" s="60">
        <v>-3</v>
      </c>
      <c r="N56" s="33"/>
      <c r="O56" s="39">
        <f>O10/0.19709</f>
        <v>771.22126947080017</v>
      </c>
      <c r="P56" s="33"/>
      <c r="Q56" s="39">
        <f>Q10/0.19709</f>
        <v>644.37566593941858</v>
      </c>
      <c r="R56" s="33"/>
      <c r="S56" s="39">
        <f>S10/0.19709</f>
        <v>3881.4754680602773</v>
      </c>
      <c r="T56" s="33"/>
      <c r="U56" s="39">
        <f>U10/0.19709</f>
        <v>309.50327261657111</v>
      </c>
      <c r="V56" s="10"/>
      <c r="W56" s="10"/>
      <c r="X56" s="10"/>
      <c r="Y56" s="10"/>
    </row>
    <row r="57" spans="1:25" s="1" customFormat="1" ht="11.25" customHeight="1" x14ac:dyDescent="0.2">
      <c r="A57" s="21" t="s">
        <v>21</v>
      </c>
      <c r="B57" s="10"/>
      <c r="C57" s="39">
        <f>C11/0.21939</f>
        <v>3022.0155886776975</v>
      </c>
      <c r="D57" s="33"/>
      <c r="E57" s="39">
        <f>E11/0.21939</f>
        <v>7625.6894115502073</v>
      </c>
      <c r="F57" s="33"/>
      <c r="G57" s="60">
        <v>-3</v>
      </c>
      <c r="H57" s="10"/>
      <c r="I57" s="34" t="s">
        <v>16</v>
      </c>
      <c r="J57" s="10"/>
      <c r="K57" s="34" t="s">
        <v>16</v>
      </c>
      <c r="L57" s="10"/>
      <c r="M57" s="60">
        <v>-3</v>
      </c>
      <c r="N57" s="33"/>
      <c r="O57" s="39">
        <f>O11/0.21939</f>
        <v>834.13099958977159</v>
      </c>
      <c r="P57" s="33"/>
      <c r="Q57" s="39">
        <f>Q11/0.21939</f>
        <v>574.31970463558048</v>
      </c>
      <c r="R57" s="33"/>
      <c r="S57" s="39">
        <f>S11/0.21939</f>
        <v>1148.639409271161</v>
      </c>
      <c r="T57" s="33"/>
      <c r="U57" s="39">
        <f>U11/0.21939</f>
        <v>300.83413099958977</v>
      </c>
      <c r="V57" s="10"/>
      <c r="W57" s="10"/>
      <c r="X57" s="10"/>
      <c r="Y57" s="10"/>
    </row>
    <row r="58" spans="1:25" s="1" customFormat="1" ht="11.25" customHeight="1" x14ac:dyDescent="0.2">
      <c r="A58" s="21" t="s">
        <v>22</v>
      </c>
      <c r="B58" s="10"/>
      <c r="C58" s="39">
        <f>C12/0.24644</f>
        <v>2941.892549910729</v>
      </c>
      <c r="D58" s="33"/>
      <c r="E58" s="39">
        <f>E12/0.24644</f>
        <v>7437.915922739815</v>
      </c>
      <c r="F58" s="33"/>
      <c r="G58" s="60">
        <v>-3</v>
      </c>
      <c r="H58" s="10"/>
      <c r="I58" s="34" t="s">
        <v>16</v>
      </c>
      <c r="J58" s="10"/>
      <c r="K58" s="34" t="s">
        <v>16</v>
      </c>
      <c r="L58" s="10"/>
      <c r="M58" s="60">
        <v>-3</v>
      </c>
      <c r="N58" s="33"/>
      <c r="O58" s="39">
        <f>O12/0.24644</f>
        <v>783.15208570037339</v>
      </c>
      <c r="P58" s="33"/>
      <c r="Q58" s="39">
        <f>Q12/0.24644</f>
        <v>637.07190391170263</v>
      </c>
      <c r="R58" s="33"/>
      <c r="S58" s="39">
        <f>S12/0.24644</f>
        <v>1229.5081967213116</v>
      </c>
      <c r="T58" s="33"/>
      <c r="U58" s="39">
        <f>U12/0.24644</f>
        <v>279.98701509495214</v>
      </c>
      <c r="V58" s="10"/>
      <c r="W58" s="10"/>
      <c r="X58" s="10"/>
      <c r="Y58" s="10"/>
    </row>
    <row r="59" spans="1:25" s="1" customFormat="1" ht="11.25" customHeight="1" x14ac:dyDescent="0.2">
      <c r="A59" s="21" t="s">
        <v>23</v>
      </c>
      <c r="B59" s="10"/>
      <c r="C59" s="39">
        <f>C13/0.27567</f>
        <v>2771.4296078644752</v>
      </c>
      <c r="D59" s="33"/>
      <c r="E59" s="39">
        <f>E13/0.27567</f>
        <v>7421.9175100663833</v>
      </c>
      <c r="F59" s="33"/>
      <c r="G59" s="60">
        <v>-3</v>
      </c>
      <c r="H59" s="10"/>
      <c r="I59" s="34" t="s">
        <v>16</v>
      </c>
      <c r="J59" s="10"/>
      <c r="K59" s="34" t="s">
        <v>16</v>
      </c>
      <c r="L59" s="10"/>
      <c r="M59" s="60">
        <v>-3</v>
      </c>
      <c r="N59" s="33"/>
      <c r="O59" s="39">
        <f>O13/0.27567</f>
        <v>714.62255595458328</v>
      </c>
      <c r="P59" s="33"/>
      <c r="Q59" s="39">
        <f>Q13/0.27567</f>
        <v>587.65915768854063</v>
      </c>
      <c r="R59" s="33"/>
      <c r="S59" s="39">
        <f>S13/0.27567</f>
        <v>1276.8890339899153</v>
      </c>
      <c r="T59" s="33"/>
      <c r="U59" s="39">
        <f>U13/0.27567</f>
        <v>268.43689919106174</v>
      </c>
      <c r="V59" s="10"/>
      <c r="W59" s="10"/>
      <c r="X59" s="10"/>
      <c r="Y59" s="10"/>
    </row>
    <row r="60" spans="1:25" s="1" customFormat="1" ht="11.25" customHeight="1" x14ac:dyDescent="0.2">
      <c r="A60" s="21" t="s">
        <v>24</v>
      </c>
      <c r="B60" s="10"/>
      <c r="C60" s="39">
        <f>C14/0.30192</f>
        <v>2656.3328033916268</v>
      </c>
      <c r="D60" s="33"/>
      <c r="E60" s="39">
        <f>E14/0.30192</f>
        <v>7107.8431372549012</v>
      </c>
      <c r="F60" s="33"/>
      <c r="G60" s="60">
        <v>-3</v>
      </c>
      <c r="H60" s="10"/>
      <c r="I60" s="34" t="s">
        <v>16</v>
      </c>
      <c r="J60" s="10"/>
      <c r="K60" s="34" t="s">
        <v>16</v>
      </c>
      <c r="L60" s="10"/>
      <c r="M60" s="60">
        <v>-3</v>
      </c>
      <c r="N60" s="33"/>
      <c r="O60" s="39">
        <f>O14/0.30192</f>
        <v>655.80286168521457</v>
      </c>
      <c r="P60" s="33"/>
      <c r="Q60" s="39">
        <f>Q14/0.30192</f>
        <v>563.06306306306305</v>
      </c>
      <c r="R60" s="33"/>
      <c r="S60" s="39">
        <f>S14/0.30192</f>
        <v>1331.4785373608902</v>
      </c>
      <c r="T60" s="33"/>
      <c r="U60" s="39">
        <f>U14/0.30192</f>
        <v>258.34658187599365</v>
      </c>
      <c r="V60" s="10"/>
      <c r="W60" s="10"/>
      <c r="X60" s="10"/>
      <c r="Y60" s="10"/>
    </row>
    <row r="61" spans="1:25" s="1" customFormat="1" ht="11.25" customHeight="1" x14ac:dyDescent="0.2">
      <c r="A61" s="21" t="s">
        <v>25</v>
      </c>
      <c r="B61" s="10"/>
      <c r="C61" s="39">
        <f>C15/0.32592</f>
        <v>2420.8394698085422</v>
      </c>
      <c r="D61" s="33"/>
      <c r="E61" s="39">
        <f>E15/0.32592</f>
        <v>6839.1016200294553</v>
      </c>
      <c r="F61" s="33"/>
      <c r="G61" s="60">
        <v>-3</v>
      </c>
      <c r="H61" s="10"/>
      <c r="I61" s="34" t="s">
        <v>16</v>
      </c>
      <c r="J61" s="10"/>
      <c r="K61" s="34" t="s">
        <v>16</v>
      </c>
      <c r="L61" s="10"/>
      <c r="M61" s="60">
        <v>-3</v>
      </c>
      <c r="N61" s="33"/>
      <c r="O61" s="39">
        <f>O15/0.32592</f>
        <v>604.44280805105552</v>
      </c>
      <c r="P61" s="33"/>
      <c r="Q61" s="39">
        <f>Q15/0.32592</f>
        <v>527.73686794305354</v>
      </c>
      <c r="R61" s="33"/>
      <c r="S61" s="39">
        <f>S15/0.32592</f>
        <v>1261.0456553755523</v>
      </c>
      <c r="T61" s="33"/>
      <c r="U61" s="39">
        <f>U15/0.32592</f>
        <v>254.66372115856652</v>
      </c>
      <c r="V61" s="10"/>
      <c r="W61" s="10"/>
      <c r="X61" s="10"/>
      <c r="Y61" s="10"/>
    </row>
    <row r="62" spans="1:25" s="1" customFormat="1" ht="11.25" customHeight="1" x14ac:dyDescent="0.2">
      <c r="A62" s="21" t="s">
        <v>26</v>
      </c>
      <c r="B62" s="10"/>
      <c r="C62" s="39">
        <f>C16/0.3465</f>
        <v>2481.9624819624823</v>
      </c>
      <c r="D62" s="33"/>
      <c r="E62" s="39">
        <f>E16/0.3465</f>
        <v>6793.6507936507942</v>
      </c>
      <c r="F62" s="33"/>
      <c r="G62" s="60">
        <v>-3</v>
      </c>
      <c r="H62" s="10"/>
      <c r="I62" s="34" t="s">
        <v>16</v>
      </c>
      <c r="J62" s="10"/>
      <c r="K62" s="34" t="s">
        <v>16</v>
      </c>
      <c r="L62" s="10"/>
      <c r="M62" s="60">
        <v>-3</v>
      </c>
      <c r="N62" s="33"/>
      <c r="O62" s="39">
        <f>O16/0.3465</f>
        <v>614.71861471861473</v>
      </c>
      <c r="P62" s="33"/>
      <c r="Q62" s="39">
        <f>Q16/0.3465</f>
        <v>528.13852813852816</v>
      </c>
      <c r="R62" s="33"/>
      <c r="S62" s="39">
        <f>S16/0.3465</f>
        <v>1393.939393939394</v>
      </c>
      <c r="T62" s="33"/>
      <c r="U62" s="39">
        <f>U16/0.3465</f>
        <v>277.05627705627705</v>
      </c>
      <c r="V62" s="10"/>
      <c r="W62" s="10"/>
      <c r="X62" s="10"/>
      <c r="Y62" s="10"/>
    </row>
    <row r="63" spans="1:25" s="1" customFormat="1" ht="11.25" customHeight="1" x14ac:dyDescent="0.2">
      <c r="A63" s="21" t="s">
        <v>27</v>
      </c>
      <c r="B63" s="10"/>
      <c r="C63" s="39">
        <f>C17/0.36658</f>
        <v>2356.9207267172242</v>
      </c>
      <c r="D63" s="33"/>
      <c r="E63" s="39">
        <f>E17/0.36658</f>
        <v>6102.3514648917017</v>
      </c>
      <c r="F63" s="33"/>
      <c r="G63" s="60">
        <v>-3</v>
      </c>
      <c r="H63" s="10"/>
      <c r="I63" s="34" t="s">
        <v>16</v>
      </c>
      <c r="J63" s="10"/>
      <c r="K63" s="34" t="s">
        <v>16</v>
      </c>
      <c r="L63" s="10"/>
      <c r="M63" s="60">
        <v>-3</v>
      </c>
      <c r="N63" s="33"/>
      <c r="O63" s="39">
        <f>O17/0.36658</f>
        <v>646.51644934257183</v>
      </c>
      <c r="P63" s="33"/>
      <c r="Q63" s="39">
        <f>Q17/0.36658</f>
        <v>477.38556386054881</v>
      </c>
      <c r="R63" s="33"/>
      <c r="S63" s="39">
        <f>S17/0.36658</f>
        <v>1181.1882808663865</v>
      </c>
      <c r="T63" s="33"/>
      <c r="U63" s="39">
        <f>U17/0.36658</f>
        <v>278.24758579300561</v>
      </c>
      <c r="V63" s="10"/>
      <c r="W63" s="10"/>
      <c r="X63" s="10"/>
      <c r="Y63" s="10"/>
    </row>
    <row r="64" spans="1:25" s="1" customFormat="1" ht="11.25" customHeight="1" x14ac:dyDescent="0.2">
      <c r="A64" s="21" t="s">
        <v>28</v>
      </c>
      <c r="B64" s="10"/>
      <c r="C64" s="39">
        <f>C18/0.38999</f>
        <v>2561.6041436959922</v>
      </c>
      <c r="D64" s="33"/>
      <c r="E64" s="39">
        <f>E18/0.38999</f>
        <v>6377.0865919638964</v>
      </c>
      <c r="F64" s="33"/>
      <c r="G64" s="60">
        <v>-3</v>
      </c>
      <c r="H64" s="10"/>
      <c r="I64" s="10"/>
      <c r="J64" s="10"/>
      <c r="K64" s="10"/>
      <c r="L64" s="10"/>
      <c r="M64" s="60">
        <v>-3</v>
      </c>
      <c r="N64" s="33"/>
      <c r="O64" s="39">
        <f>O18/0.38999</f>
        <v>641.04207800200004</v>
      </c>
      <c r="P64" s="33"/>
      <c r="Q64" s="39">
        <f>Q18/0.38999</f>
        <v>530.782840585656</v>
      </c>
      <c r="R64" s="33"/>
      <c r="S64" s="39">
        <f>S18/0.38999</f>
        <v>1176.9532552116721</v>
      </c>
      <c r="T64" s="33"/>
      <c r="U64" s="39">
        <f>U18/0.38999</f>
        <v>300.00769250493602</v>
      </c>
      <c r="V64" s="10"/>
      <c r="W64" s="10"/>
      <c r="X64" s="10"/>
      <c r="Y64" s="10"/>
    </row>
    <row r="65" spans="1:25" s="1" customFormat="1" ht="11.25" customHeight="1" x14ac:dyDescent="0.2">
      <c r="A65" s="21" t="s">
        <v>29</v>
      </c>
      <c r="B65" s="10"/>
      <c r="C65" s="39">
        <f>C19/0.41844</f>
        <v>2554.727081540962</v>
      </c>
      <c r="D65" s="33"/>
      <c r="E65" s="39">
        <f>E19/0.41844</f>
        <v>6074.9450339355708</v>
      </c>
      <c r="F65" s="33"/>
      <c r="G65" s="60">
        <v>-3</v>
      </c>
      <c r="H65" s="10"/>
      <c r="I65" s="34" t="s">
        <v>16</v>
      </c>
      <c r="J65" s="10"/>
      <c r="K65" s="34" t="s">
        <v>16</v>
      </c>
      <c r="L65" s="10"/>
      <c r="M65" s="60">
        <v>-3</v>
      </c>
      <c r="N65" s="33"/>
      <c r="O65" s="39">
        <f>O19/0.41844</f>
        <v>650.03345760443551</v>
      </c>
      <c r="P65" s="33"/>
      <c r="Q65" s="39">
        <f>Q19/0.41844</f>
        <v>554.44030207437152</v>
      </c>
      <c r="R65" s="33"/>
      <c r="S65" s="39">
        <f>S19/0.41844</f>
        <v>1362.2024663034128</v>
      </c>
      <c r="T65" s="33"/>
      <c r="U65" s="39">
        <f>U19/0.41844</f>
        <v>291.55912436669536</v>
      </c>
      <c r="V65" s="10"/>
      <c r="W65" s="10"/>
      <c r="X65" s="10"/>
      <c r="Y65" s="10"/>
    </row>
    <row r="66" spans="1:25" s="1" customFormat="1" ht="11.25" customHeight="1" x14ac:dyDescent="0.2">
      <c r="A66" s="21" t="s">
        <v>30</v>
      </c>
      <c r="B66" s="10"/>
      <c r="C66" s="39">
        <f>C20/0.45484</f>
        <v>2651.4818397678305</v>
      </c>
      <c r="D66" s="33"/>
      <c r="E66" s="39">
        <f>E20/0.45484</f>
        <v>5676.7214844780583</v>
      </c>
      <c r="F66" s="33"/>
      <c r="G66" s="60">
        <v>-3</v>
      </c>
      <c r="H66" s="10"/>
      <c r="I66" s="31" t="s">
        <v>15</v>
      </c>
      <c r="J66" s="10"/>
      <c r="K66" s="32" t="s">
        <v>16</v>
      </c>
      <c r="L66" s="10"/>
      <c r="M66" s="60">
        <v>-3</v>
      </c>
      <c r="N66" s="33"/>
      <c r="O66" s="39">
        <f>O20/0.45484</f>
        <v>670.56547357312456</v>
      </c>
      <c r="P66" s="33"/>
      <c r="Q66" s="39">
        <f>Q20/0.45484</f>
        <v>547.44525547445255</v>
      </c>
      <c r="R66" s="33"/>
      <c r="S66" s="39">
        <f>S20/0.45484</f>
        <v>1367.5138510245361</v>
      </c>
      <c r="T66" s="33"/>
      <c r="U66" s="39">
        <f>U20/0.45484</f>
        <v>283.61621669158382</v>
      </c>
      <c r="V66" s="10"/>
      <c r="W66" s="10"/>
      <c r="X66" s="10"/>
      <c r="Y66" s="10"/>
    </row>
    <row r="67" spans="1:25" s="1" customFormat="1" ht="11.25" customHeight="1" x14ac:dyDescent="0.2">
      <c r="A67" s="21" t="s">
        <v>31</v>
      </c>
      <c r="B67" s="10"/>
      <c r="C67" s="39">
        <f>C21/0.494</f>
        <v>2892.9959514170041</v>
      </c>
      <c r="D67" s="33"/>
      <c r="E67" s="39">
        <f>E21/0.494</f>
        <v>5849.0688259109311</v>
      </c>
      <c r="F67" s="33"/>
      <c r="G67" s="60">
        <v>-3</v>
      </c>
      <c r="H67" s="10"/>
      <c r="I67" s="34" t="s">
        <v>16</v>
      </c>
      <c r="J67" s="10"/>
      <c r="K67" s="34" t="s">
        <v>16</v>
      </c>
      <c r="L67" s="10"/>
      <c r="M67" s="60">
        <v>-3</v>
      </c>
      <c r="N67" s="33"/>
      <c r="O67" s="39">
        <f>O21/0.494</f>
        <v>705.74898785425103</v>
      </c>
      <c r="P67" s="33"/>
      <c r="Q67" s="39">
        <f>Q21/0.494</f>
        <v>563.96761133603241</v>
      </c>
      <c r="R67" s="33"/>
      <c r="S67" s="39">
        <f>S21/0.494</f>
        <v>1434.8785425101216</v>
      </c>
      <c r="T67" s="33"/>
      <c r="U67" s="39">
        <f>U21/0.494</f>
        <v>284.81781376518217</v>
      </c>
      <c r="V67" s="10"/>
      <c r="W67" s="10"/>
      <c r="X67" s="10"/>
      <c r="Y67" s="10"/>
    </row>
    <row r="68" spans="1:25" s="1" customFormat="1" ht="11.25" customHeight="1" x14ac:dyDescent="0.2">
      <c r="A68" s="21" t="s">
        <v>32</v>
      </c>
      <c r="B68" s="10"/>
      <c r="C68" s="39">
        <f>C22/0.53402</f>
        <v>2911.1643758660721</v>
      </c>
      <c r="E68" s="39">
        <f>E22/0.53402</f>
        <v>5639.545335380697</v>
      </c>
      <c r="F68" s="33"/>
      <c r="G68" s="60">
        <v>-3</v>
      </c>
      <c r="H68" s="10"/>
      <c r="I68" s="34" t="s">
        <v>16</v>
      </c>
      <c r="J68" s="10"/>
      <c r="K68" s="34" t="s">
        <v>16</v>
      </c>
      <c r="L68" s="10"/>
      <c r="M68" s="60">
        <v>-3</v>
      </c>
      <c r="N68" s="33"/>
      <c r="O68" s="39">
        <f>O22/0.53402</f>
        <v>728.90528444627535</v>
      </c>
      <c r="P68" s="33"/>
      <c r="Q68" s="39">
        <f>Q22/0.53402</f>
        <v>596.8877570128459</v>
      </c>
      <c r="R68" s="33"/>
      <c r="S68" s="39">
        <f>S22/0.53402</f>
        <v>1066.2709261825398</v>
      </c>
      <c r="T68" s="33"/>
      <c r="U68" s="39">
        <f>U22/0.53402</f>
        <v>276.7499344593835</v>
      </c>
      <c r="V68" s="10"/>
      <c r="W68" s="10"/>
      <c r="X68" s="10"/>
      <c r="Y68" s="10"/>
    </row>
    <row r="69" spans="1:25" s="1" customFormat="1" ht="11.25" customHeight="1" x14ac:dyDescent="0.2">
      <c r="A69" s="21" t="s">
        <v>33</v>
      </c>
      <c r="B69" s="10"/>
      <c r="C69" s="39">
        <f>C23/0.57193</f>
        <v>3080.7966009826373</v>
      </c>
      <c r="D69" s="33"/>
      <c r="E69" s="39">
        <f>E23/0.57193</f>
        <v>5677.2681971569946</v>
      </c>
      <c r="F69" s="33"/>
      <c r="G69" s="60">
        <v>-3</v>
      </c>
      <c r="H69" s="10"/>
      <c r="I69" s="34" t="s">
        <v>16</v>
      </c>
      <c r="J69" s="10"/>
      <c r="K69" s="34" t="s">
        <v>16</v>
      </c>
      <c r="L69" s="10"/>
      <c r="M69" s="60">
        <v>-3</v>
      </c>
      <c r="N69" s="33"/>
      <c r="O69" s="39">
        <f>O23/0.57193</f>
        <v>729.11020579441538</v>
      </c>
      <c r="P69" s="33"/>
      <c r="Q69" s="39">
        <f>Q23/0.57193</f>
        <v>659.17157694123398</v>
      </c>
      <c r="R69" s="33"/>
      <c r="S69" s="39">
        <f>S23/0.57193</f>
        <v>1379.5394541290016</v>
      </c>
      <c r="T69" s="33"/>
      <c r="U69" s="39">
        <f>U23/0.57193</f>
        <v>281.50298113405483</v>
      </c>
      <c r="V69" s="10"/>
      <c r="W69" s="10"/>
      <c r="X69" s="10"/>
      <c r="Y69" s="10"/>
    </row>
    <row r="70" spans="1:25" s="1" customFormat="1" ht="11.25" customHeight="1" x14ac:dyDescent="0.2">
      <c r="A70" s="21" t="s">
        <v>34</v>
      </c>
      <c r="B70" s="10"/>
      <c r="C70" s="39">
        <f>C24/0.60592</f>
        <v>2992.1441774491682</v>
      </c>
      <c r="D70" s="33"/>
      <c r="E70" s="39">
        <f>E24/0.60592</f>
        <v>5599.7491418008976</v>
      </c>
      <c r="F70" s="33"/>
      <c r="G70" s="60">
        <v>-3</v>
      </c>
      <c r="H70" s="10"/>
      <c r="I70" s="34" t="s">
        <v>16</v>
      </c>
      <c r="J70" s="10"/>
      <c r="K70" s="34" t="s">
        <v>16</v>
      </c>
      <c r="L70" s="10"/>
      <c r="M70" s="60">
        <v>-3</v>
      </c>
      <c r="N70" s="33"/>
      <c r="O70" s="39">
        <f>O24/0.60592</f>
        <v>698.11196197517825</v>
      </c>
      <c r="P70" s="33"/>
      <c r="Q70" s="39">
        <f>Q24/0.60592</f>
        <v>668.40506997623447</v>
      </c>
      <c r="R70" s="33"/>
      <c r="S70" s="39">
        <f>S24/0.60592</f>
        <v>1262.5429099551095</v>
      </c>
      <c r="T70" s="33"/>
      <c r="U70" s="39">
        <f>U24/0.60592</f>
        <v>280.56509110113547</v>
      </c>
      <c r="V70" s="10"/>
      <c r="W70" s="10"/>
      <c r="X70" s="10"/>
      <c r="Y70" s="10"/>
    </row>
    <row r="71" spans="1:25" s="1" customFormat="1" ht="11.25" customHeight="1" x14ac:dyDescent="0.2">
      <c r="A71" s="21" t="s">
        <v>35</v>
      </c>
      <c r="B71" s="10"/>
      <c r="C71" s="39">
        <f>C25/0.63114</f>
        <v>2837.7222169407737</v>
      </c>
      <c r="D71" s="33"/>
      <c r="E71" s="39">
        <f>E25/0.63114</f>
        <v>5466.299077859112</v>
      </c>
      <c r="F71" s="33"/>
      <c r="G71" s="60">
        <v>-3</v>
      </c>
      <c r="H71" s="10"/>
      <c r="I71" s="34" t="s">
        <v>16</v>
      </c>
      <c r="J71" s="10"/>
      <c r="K71" s="34" t="s">
        <v>16</v>
      </c>
      <c r="L71" s="10"/>
      <c r="M71" s="60">
        <v>-3</v>
      </c>
      <c r="N71" s="33"/>
      <c r="O71" s="39">
        <f>O25/0.63114</f>
        <v>665.46249643502233</v>
      </c>
      <c r="P71" s="33"/>
      <c r="Q71" s="39">
        <f>Q25/0.63114</f>
        <v>640.1115441898786</v>
      </c>
      <c r="R71" s="33"/>
      <c r="S71" s="39">
        <f>S25/0.63114</f>
        <v>1002.9470481984979</v>
      </c>
      <c r="T71" s="33"/>
      <c r="U71" s="39">
        <f>U25/0.63114</f>
        <v>283.61377824254521</v>
      </c>
      <c r="V71" s="33"/>
      <c r="W71" s="10"/>
      <c r="X71" s="10"/>
      <c r="Y71" s="10"/>
    </row>
    <row r="72" spans="1:25" s="1" customFormat="1" ht="11.25" customHeight="1" x14ac:dyDescent="0.2">
      <c r="A72" s="21">
        <v>1995</v>
      </c>
      <c r="B72" s="10"/>
      <c r="C72" s="39">
        <f>C26/0.65545</f>
        <v>2711.1145014875278</v>
      </c>
      <c r="D72" s="33"/>
      <c r="E72" s="39">
        <f>E26/0.65545</f>
        <v>5280.3417499427878</v>
      </c>
      <c r="F72" s="33"/>
      <c r="G72" s="60">
        <v>-3</v>
      </c>
      <c r="H72" s="10"/>
      <c r="I72" s="34" t="s">
        <v>16</v>
      </c>
      <c r="J72" s="10"/>
      <c r="K72" s="34" t="s">
        <v>16</v>
      </c>
      <c r="L72" s="10"/>
      <c r="M72" s="60">
        <v>-3</v>
      </c>
      <c r="N72" s="33"/>
      <c r="O72" s="39">
        <f>O26/0.65545</f>
        <v>646.88382027614614</v>
      </c>
      <c r="P72" s="33"/>
      <c r="Q72" s="39">
        <f>Q26/0.65545</f>
        <v>614.84476313982759</v>
      </c>
      <c r="R72" s="33"/>
      <c r="S72" s="39">
        <f>S26/0.65545</f>
        <v>866.58021206804483</v>
      </c>
      <c r="T72" s="33"/>
      <c r="U72" s="39">
        <f>U26/0.65545</f>
        <v>288.35151422686704</v>
      </c>
      <c r="V72" s="33"/>
      <c r="W72" s="10"/>
      <c r="X72" s="10"/>
      <c r="Y72" s="10"/>
    </row>
    <row r="73" spans="1:25" s="1" customFormat="1" ht="11.25" customHeight="1" x14ac:dyDescent="0.2">
      <c r="A73" s="18">
        <v>1996</v>
      </c>
      <c r="B73" s="10"/>
      <c r="C73" s="39">
        <f>C27/0.67242</f>
        <v>2560.899437851343</v>
      </c>
      <c r="D73" s="33"/>
      <c r="E73" s="39">
        <f>E27/0.67242</f>
        <v>5139.6448648166324</v>
      </c>
      <c r="F73" s="33"/>
      <c r="G73" s="60">
        <v>-3</v>
      </c>
      <c r="H73" s="10"/>
      <c r="I73" s="34" t="s">
        <v>16</v>
      </c>
      <c r="J73" s="10"/>
      <c r="K73" s="34" t="s">
        <v>16</v>
      </c>
      <c r="L73" s="10"/>
      <c r="M73" s="60">
        <v>-3</v>
      </c>
      <c r="N73" s="33"/>
      <c r="O73" s="39">
        <f>O27/0.67242</f>
        <v>637.99411082359234</v>
      </c>
      <c r="P73" s="33"/>
      <c r="Q73" s="39">
        <f>Q27/0.67242</f>
        <v>591.89197227923023</v>
      </c>
      <c r="R73" s="33"/>
      <c r="S73" s="39">
        <f>S27/0.67242</f>
        <v>803.06951012759885</v>
      </c>
      <c r="T73" s="33"/>
      <c r="U73" s="39">
        <f>U27/0.67242</f>
        <v>292.97165462062401</v>
      </c>
      <c r="V73" s="33"/>
      <c r="W73" s="10"/>
      <c r="X73" s="10"/>
      <c r="Y73" s="10"/>
    </row>
    <row r="74" spans="1:25" s="1" customFormat="1" ht="11.25" customHeight="1" x14ac:dyDescent="0.2">
      <c r="A74" s="18">
        <v>1997</v>
      </c>
      <c r="B74" s="10"/>
      <c r="C74" s="39">
        <f>C28/0.68702</f>
        <v>2633.2621385566172</v>
      </c>
      <c r="D74" s="33"/>
      <c r="E74" s="39">
        <f>E28/0.68702</f>
        <v>5318.6224564059276</v>
      </c>
      <c r="F74" s="33"/>
      <c r="G74" s="60">
        <v>-3</v>
      </c>
      <c r="H74" s="10"/>
      <c r="I74" s="34" t="s">
        <v>16</v>
      </c>
      <c r="J74" s="10"/>
      <c r="K74" s="34" t="s">
        <v>16</v>
      </c>
      <c r="L74" s="10"/>
      <c r="M74" s="60">
        <v>-3</v>
      </c>
      <c r="N74" s="33"/>
      <c r="O74" s="39">
        <f>O28/0.68702</f>
        <v>710.31411021513202</v>
      </c>
      <c r="P74" s="33"/>
      <c r="Q74" s="39">
        <f>Q28/0.68702</f>
        <v>618.61372303571954</v>
      </c>
      <c r="R74" s="33"/>
      <c r="S74" s="39">
        <f>S28/0.68702</f>
        <v>864.60365054874683</v>
      </c>
      <c r="T74" s="33"/>
      <c r="U74" s="39">
        <f>U28/0.68702</f>
        <v>328.95694448487671</v>
      </c>
      <c r="V74" s="33"/>
      <c r="W74" s="10"/>
      <c r="X74" s="10"/>
      <c r="Y74" s="10"/>
    </row>
    <row r="75" spans="1:25" s="1" customFormat="1" ht="11.25" customHeight="1" x14ac:dyDescent="0.2">
      <c r="A75" s="18">
        <v>1998</v>
      </c>
      <c r="B75" s="10"/>
      <c r="C75" s="39">
        <f>C29/0.69892</f>
        <v>2693.7231656717031</v>
      </c>
      <c r="D75" s="33"/>
      <c r="E75" s="39">
        <f>E29/0.69892</f>
        <v>5296.2755747900792</v>
      </c>
      <c r="F75" s="33"/>
      <c r="G75" s="60">
        <v>-3</v>
      </c>
      <c r="H75" s="10"/>
      <c r="I75" s="34" t="s">
        <v>16</v>
      </c>
      <c r="J75" s="10"/>
      <c r="K75" s="34" t="s">
        <v>16</v>
      </c>
      <c r="L75" s="10"/>
      <c r="M75" s="60">
        <v>-3</v>
      </c>
      <c r="N75" s="33"/>
      <c r="O75" s="39">
        <f>O29/0.69892</f>
        <v>654.34392696700968</v>
      </c>
      <c r="P75" s="33"/>
      <c r="Q75" s="39">
        <f>Q29/0.69892</f>
        <v>631.86214804991278</v>
      </c>
      <c r="R75" s="33"/>
      <c r="S75" s="39">
        <f>S29/0.69892</f>
        <v>728.03342062559159</v>
      </c>
      <c r="T75" s="33"/>
      <c r="U75" s="39">
        <f>U29/0.69892</f>
        <v>373.37266408310893</v>
      </c>
      <c r="V75" s="33"/>
      <c r="W75" s="10"/>
      <c r="X75" s="10"/>
      <c r="Y75" s="10"/>
    </row>
    <row r="76" spans="1:25" s="42" customFormat="1" ht="11.25" customHeight="1" x14ac:dyDescent="0.2">
      <c r="A76" s="18">
        <v>1999</v>
      </c>
      <c r="B76" s="10"/>
      <c r="C76" s="40">
        <f>C30/0.71415</f>
        <v>2945.9017618141384</v>
      </c>
      <c r="D76" s="41"/>
      <c r="E76" s="40">
        <f>E30/0.71415</f>
        <v>5332.0618256255648</v>
      </c>
      <c r="F76" s="33"/>
      <c r="G76" s="60">
        <v>-3</v>
      </c>
      <c r="H76" s="10"/>
      <c r="I76" s="34" t="s">
        <v>16</v>
      </c>
      <c r="J76" s="10"/>
      <c r="K76" s="34" t="s">
        <v>16</v>
      </c>
      <c r="L76" s="10"/>
      <c r="M76" s="60">
        <v>-3</v>
      </c>
      <c r="N76" s="33"/>
      <c r="O76" s="40">
        <f>O30/0.71415</f>
        <v>711.70054625034084</v>
      </c>
      <c r="P76" s="41"/>
      <c r="Q76" s="40">
        <f>Q30/0.71415</f>
        <v>684.91495726764856</v>
      </c>
      <c r="R76" s="41"/>
      <c r="S76" s="40">
        <f>S30/0.71415</f>
        <v>1005.4589284647514</v>
      </c>
      <c r="T76" s="41"/>
      <c r="U76" s="40">
        <f>U30/0.71415</f>
        <v>469.71021384806761</v>
      </c>
      <c r="V76" s="41"/>
      <c r="W76" s="19"/>
      <c r="X76" s="19"/>
      <c r="Y76" s="19"/>
    </row>
    <row r="77" spans="1:25" s="42" customFormat="1" ht="11.25" customHeight="1" x14ac:dyDescent="0.2">
      <c r="A77" s="18">
        <v>2000</v>
      </c>
      <c r="B77" s="19"/>
      <c r="C77" s="40">
        <f>C31/0.7326</f>
        <v>2771.1155101770473</v>
      </c>
      <c r="D77" s="41"/>
      <c r="E77" s="40">
        <f>E31/0.7326</f>
        <v>5131.545600228199</v>
      </c>
      <c r="F77" s="41"/>
      <c r="G77" s="60">
        <v>-3</v>
      </c>
      <c r="H77" s="19"/>
      <c r="I77" s="43" t="s">
        <v>16</v>
      </c>
      <c r="J77" s="19"/>
      <c r="K77" s="43" t="s">
        <v>16</v>
      </c>
      <c r="L77" s="19"/>
      <c r="M77" s="60">
        <v>-3</v>
      </c>
      <c r="N77" s="41"/>
      <c r="O77" s="40">
        <f>O31/0.7326</f>
        <v>647.05856463740952</v>
      </c>
      <c r="P77" s="41"/>
      <c r="Q77" s="40">
        <f>Q31/0.7326</f>
        <v>705.00687095683179</v>
      </c>
      <c r="R77" s="41"/>
      <c r="S77" s="40">
        <f>S31/0.7326</f>
        <v>875.6277734126495</v>
      </c>
      <c r="T77" s="41"/>
      <c r="U77" s="40">
        <f>U31/0.7326</f>
        <v>497.53457188085042</v>
      </c>
      <c r="V77" s="41"/>
      <c r="W77" s="19"/>
      <c r="X77" s="19"/>
      <c r="Y77" s="19"/>
    </row>
    <row r="78" spans="1:25" s="42" customFormat="1" ht="11.25" customHeight="1" x14ac:dyDescent="0.2">
      <c r="A78" s="18">
        <v>2001</v>
      </c>
      <c r="B78" s="19"/>
      <c r="C78" s="40">
        <f>C32/0.75728</f>
        <v>2729.4386567968513</v>
      </c>
      <c r="D78" s="41"/>
      <c r="E78" s="40">
        <f>E32/0.75728</f>
        <v>5227.9195124306507</v>
      </c>
      <c r="F78" s="41"/>
      <c r="G78" s="60">
        <v>-3</v>
      </c>
      <c r="H78" s="19"/>
      <c r="I78" s="43"/>
      <c r="J78" s="19"/>
      <c r="K78" s="43"/>
      <c r="L78" s="19"/>
      <c r="M78" s="60">
        <v>-3</v>
      </c>
      <c r="N78" s="41"/>
      <c r="O78" s="40">
        <f>O32/0.75728</f>
        <v>630.03221857446852</v>
      </c>
      <c r="P78" s="41"/>
      <c r="Q78" s="40">
        <f>Q32/0.75728</f>
        <v>719.91146835682764</v>
      </c>
      <c r="R78" s="41"/>
      <c r="S78" s="40">
        <f>S32/0.75728</f>
        <v>1056.3417136865353</v>
      </c>
      <c r="T78" s="41"/>
      <c r="U78" s="40">
        <f>U32/0.75728</f>
        <v>543.03015648071016</v>
      </c>
      <c r="V78" s="41"/>
      <c r="W78" s="19"/>
      <c r="X78" s="19"/>
      <c r="Y78" s="19"/>
    </row>
    <row r="79" spans="1:25" s="42" customFormat="1" ht="11.25" customHeight="1" x14ac:dyDescent="0.2">
      <c r="A79" s="18">
        <v>2002</v>
      </c>
      <c r="B79" s="19"/>
      <c r="C79" s="40">
        <f>C33/0.77741</f>
        <v>2701.207822144821</v>
      </c>
      <c r="D79" s="41"/>
      <c r="E79" s="40">
        <f>E33/0.77741</f>
        <v>5473.4899325272372</v>
      </c>
      <c r="F79" s="41"/>
      <c r="G79" s="60">
        <v>-3</v>
      </c>
      <c r="H79" s="19"/>
      <c r="I79" s="43"/>
      <c r="J79" s="19"/>
      <c r="K79" s="43"/>
      <c r="L79" s="19"/>
      <c r="M79" s="60">
        <v>-3</v>
      </c>
      <c r="N79" s="41"/>
      <c r="O79" s="40">
        <f>O33/0.77741</f>
        <v>588.41879088007033</v>
      </c>
      <c r="P79" s="41"/>
      <c r="Q79" s="40">
        <f>Q33/0.77741</f>
        <v>735.22748955349255</v>
      </c>
      <c r="R79" s="41"/>
      <c r="S79" s="40">
        <f>S33/0.77741</f>
        <v>806.04502188324523</v>
      </c>
      <c r="T79" s="41"/>
      <c r="U79" s="40">
        <f>U33/0.77741</f>
        <v>583.17988015276035</v>
      </c>
      <c r="V79" s="41"/>
      <c r="W79" s="19"/>
      <c r="X79" s="19"/>
      <c r="Y79" s="19"/>
    </row>
    <row r="80" spans="1:25" s="42" customFormat="1" ht="11.25" customHeight="1" x14ac:dyDescent="0.2">
      <c r="A80" s="18">
        <v>2003</v>
      </c>
      <c r="B80" s="19"/>
      <c r="C80" s="40">
        <f>C34/0.80502</f>
        <v>2847.5184166879008</v>
      </c>
      <c r="D80" s="41"/>
      <c r="E80" s="40">
        <f>E34/0.80502</f>
        <v>5393.8292549427761</v>
      </c>
      <c r="F80" s="41"/>
      <c r="G80" s="60">
        <v>-3</v>
      </c>
      <c r="H80" s="19"/>
      <c r="I80" s="43"/>
      <c r="J80" s="19"/>
      <c r="K80" s="43"/>
      <c r="L80" s="19"/>
      <c r="M80" s="60">
        <v>-3</v>
      </c>
      <c r="N80" s="41"/>
      <c r="O80" s="40">
        <f>O34/0.80502</f>
        <v>635.73871358042743</v>
      </c>
      <c r="P80" s="41"/>
      <c r="Q80" s="40">
        <f>Q34/0.80502</f>
        <v>767.63960573941665</v>
      </c>
      <c r="R80" s="41"/>
      <c r="S80" s="40">
        <f>S34/0.80502</f>
        <v>722.26468171114084</v>
      </c>
      <c r="T80" s="41"/>
      <c r="U80" s="40">
        <f>U34/0.80502</f>
        <v>693.35402026861584</v>
      </c>
      <c r="V80" s="41"/>
      <c r="W80" s="19"/>
      <c r="X80" s="19"/>
      <c r="Y80" s="19"/>
    </row>
    <row r="81" spans="1:25" s="42" customFormat="1" ht="11.25" customHeight="1" x14ac:dyDescent="0.2">
      <c r="A81" s="18">
        <v>2004</v>
      </c>
      <c r="B81" s="19"/>
      <c r="C81" s="40">
        <f>C35/0.83626</f>
        <v>3000.18889615544</v>
      </c>
      <c r="D81" s="41"/>
      <c r="E81" s="40">
        <f>E35/0.83626</f>
        <v>5284.9123414937412</v>
      </c>
      <c r="F81" s="41"/>
      <c r="G81" s="60">
        <v>-3</v>
      </c>
      <c r="H81" s="19"/>
      <c r="I81" s="43"/>
      <c r="J81" s="19"/>
      <c r="K81" s="43"/>
      <c r="L81" s="19"/>
      <c r="M81" s="60">
        <v>-3</v>
      </c>
      <c r="N81" s="41"/>
      <c r="O81" s="40">
        <f>O35/0.83626</f>
        <v>647.13074592000521</v>
      </c>
      <c r="P81" s="41"/>
      <c r="Q81" s="40">
        <f>Q35/0.83626</f>
        <v>813.84868590296639</v>
      </c>
      <c r="R81" s="41"/>
      <c r="S81" s="40">
        <f>S35/0.83626</f>
        <v>772.05456655348075</v>
      </c>
      <c r="T81" s="41"/>
      <c r="U81" s="40">
        <f>U35/0.83626</f>
        <v>749.64812347695204</v>
      </c>
      <c r="V81" s="41"/>
      <c r="W81" s="19"/>
      <c r="X81" s="19"/>
      <c r="Y81" s="19"/>
    </row>
    <row r="82" spans="1:25" s="42" customFormat="1" ht="11.25" customHeight="1" x14ac:dyDescent="0.2">
      <c r="A82" s="58">
        <v>2005</v>
      </c>
      <c r="B82" s="19"/>
      <c r="C82" s="40">
        <f>C36/0.86234</f>
        <v>2997.8995798912561</v>
      </c>
      <c r="D82" s="41"/>
      <c r="E82" s="40">
        <f>E36/0.86234</f>
        <v>5048.5236671807097</v>
      </c>
      <c r="F82" s="41"/>
      <c r="G82" s="60">
        <v>-3</v>
      </c>
      <c r="H82" s="19"/>
      <c r="I82" s="43"/>
      <c r="J82" s="19"/>
      <c r="K82" s="43"/>
      <c r="L82" s="19"/>
      <c r="M82" s="60">
        <v>-3</v>
      </c>
      <c r="N82" s="41"/>
      <c r="O82" s="40">
        <f>O36/0.86234</f>
        <v>717.13787019402946</v>
      </c>
      <c r="P82" s="41"/>
      <c r="Q82" s="40">
        <f>Q36/0.86234</f>
        <v>757.95792729112065</v>
      </c>
      <c r="R82" s="41"/>
      <c r="S82" s="40">
        <f>S36/0.86234</f>
        <v>698.39100746214297</v>
      </c>
      <c r="T82" s="41"/>
      <c r="U82" s="40">
        <f>U36/0.86234</f>
        <v>728.2299518907198</v>
      </c>
      <c r="V82" s="41"/>
      <c r="W82" s="19"/>
      <c r="X82" s="19"/>
      <c r="Y82" s="19"/>
    </row>
    <row r="83" spans="1:25" s="42" customFormat="1" ht="11.25" customHeight="1" x14ac:dyDescent="0.2">
      <c r="A83" s="58">
        <v>2006</v>
      </c>
      <c r="B83" s="19"/>
      <c r="C83" s="40">
        <f>C37/0.88971</f>
        <v>2941.1053830503088</v>
      </c>
      <c r="D83" s="41"/>
      <c r="E83" s="40">
        <f>E37/0.88971</f>
        <v>4383.0789645402156</v>
      </c>
      <c r="F83" s="41"/>
      <c r="G83" s="60">
        <v>-3</v>
      </c>
      <c r="H83" s="19"/>
      <c r="I83" s="43"/>
      <c r="J83" s="19"/>
      <c r="K83" s="43"/>
      <c r="L83" s="19"/>
      <c r="M83" s="60">
        <v>-3</v>
      </c>
      <c r="N83" s="41"/>
      <c r="O83" s="40">
        <f>O37/0.88971</f>
        <v>633.92284101187317</v>
      </c>
      <c r="P83" s="41"/>
      <c r="Q83" s="40">
        <f>Q37/0.88971</f>
        <v>753.0384322845689</v>
      </c>
      <c r="R83" s="41"/>
      <c r="S83" s="40">
        <f>S37/0.88971</f>
        <v>748.19122766814405</v>
      </c>
      <c r="T83" s="41"/>
      <c r="U83" s="40">
        <f>U37/0.88971</f>
        <v>643.84356162429526</v>
      </c>
      <c r="V83" s="41"/>
      <c r="W83" s="19"/>
      <c r="X83" s="19"/>
      <c r="Y83" s="19"/>
    </row>
    <row r="84" spans="1:25" s="42" customFormat="1" ht="11.25" customHeight="1" x14ac:dyDescent="0.2">
      <c r="A84" s="58">
        <v>2007</v>
      </c>
      <c r="B84" s="19"/>
      <c r="C84" s="40">
        <f>C38/0.92063</f>
        <v>2990.4562310495835</v>
      </c>
      <c r="D84" s="41"/>
      <c r="E84" s="40">
        <f>E38/0.92063</f>
        <v>5112.3581874458014</v>
      </c>
      <c r="F84" s="41"/>
      <c r="G84" s="61">
        <v>-3</v>
      </c>
      <c r="H84" s="19"/>
      <c r="I84" s="43"/>
      <c r="J84" s="19"/>
      <c r="K84" s="43"/>
      <c r="L84" s="19"/>
      <c r="M84" s="61">
        <v>-3</v>
      </c>
      <c r="N84" s="41"/>
      <c r="O84" s="40">
        <f>O38/0.92063</f>
        <v>585.84756041696824</v>
      </c>
      <c r="P84" s="41"/>
      <c r="Q84" s="40">
        <f>Q38/0.92063</f>
        <v>783.6838486574909</v>
      </c>
      <c r="R84" s="41"/>
      <c r="S84" s="40">
        <f>S38/0.92063</f>
        <v>696.28103345793147</v>
      </c>
      <c r="T84" s="41"/>
      <c r="U84" s="40">
        <f>U38/0.92063</f>
        <v>642.78725419826378</v>
      </c>
      <c r="V84" s="41"/>
      <c r="W84" s="19"/>
      <c r="X84" s="19"/>
      <c r="Y84" s="19"/>
    </row>
    <row r="85" spans="1:25" s="42" customFormat="1" ht="11.25" customHeight="1" x14ac:dyDescent="0.2">
      <c r="A85" s="58">
        <v>2008</v>
      </c>
      <c r="B85" s="19"/>
      <c r="C85" s="40">
        <f>C39/0.94908</f>
        <v>3067.886282692134</v>
      </c>
      <c r="D85" s="41"/>
      <c r="E85" s="40">
        <f>E39/0.94908</f>
        <v>4962.3921458001423</v>
      </c>
      <c r="F85" s="41"/>
      <c r="G85" s="61">
        <v>-3</v>
      </c>
      <c r="H85" s="19"/>
      <c r="I85" s="43"/>
      <c r="J85" s="19"/>
      <c r="K85" s="43"/>
      <c r="L85" s="19"/>
      <c r="M85" s="61">
        <v>-3</v>
      </c>
      <c r="N85" s="41"/>
      <c r="O85" s="40">
        <f>O39/0.94908</f>
        <v>598.57590400310858</v>
      </c>
      <c r="P85" s="41"/>
      <c r="Q85" s="40">
        <f>Q39/0.94908</f>
        <v>795.02332492539313</v>
      </c>
      <c r="R85" s="41"/>
      <c r="S85" s="40">
        <f>S39/0.94908</f>
        <v>690.75092550726094</v>
      </c>
      <c r="T85" s="41"/>
      <c r="U85" s="40">
        <f>U39/0.94908</f>
        <v>644.78911501114453</v>
      </c>
      <c r="V85" s="41"/>
      <c r="W85" s="19"/>
      <c r="X85" s="19"/>
      <c r="Y85" s="19"/>
    </row>
    <row r="86" spans="1:25" s="42" customFormat="1" ht="11.25" customHeight="1" x14ac:dyDescent="0.2">
      <c r="A86" s="58">
        <v>2009</v>
      </c>
      <c r="B86" s="19"/>
      <c r="C86" s="40">
        <f>C40/0.97296</f>
        <v>3231.4770200090643</v>
      </c>
      <c r="D86" s="41"/>
      <c r="E86" s="40">
        <f>E40/0.97296</f>
        <v>5123.7209035548603</v>
      </c>
      <c r="F86" s="41"/>
      <c r="G86" s="61">
        <v>-3</v>
      </c>
      <c r="H86" s="19"/>
      <c r="I86" s="43"/>
      <c r="J86" s="19"/>
      <c r="K86" s="43"/>
      <c r="L86" s="19"/>
      <c r="M86" s="61">
        <v>-3</v>
      </c>
      <c r="N86" s="41"/>
      <c r="O86" s="40">
        <f>O40/0.97296</f>
        <v>573.53586226740879</v>
      </c>
      <c r="P86" s="41"/>
      <c r="Q86" s="40">
        <f>Q40/0.97296</f>
        <v>813.29326003606661</v>
      </c>
      <c r="R86" s="41"/>
      <c r="S86" s="40">
        <f>S40/0.97296</f>
        <v>751.67099699981566</v>
      </c>
      <c r="T86" s="41"/>
      <c r="U86" s="40">
        <f>U40/0.97296</f>
        <v>684.76494153045962</v>
      </c>
      <c r="V86" s="41"/>
      <c r="W86" s="19"/>
      <c r="X86" s="19"/>
      <c r="Y86" s="19"/>
    </row>
    <row r="87" spans="1:25" s="42" customFormat="1" ht="11.25" customHeight="1" x14ac:dyDescent="0.2">
      <c r="A87" s="55">
        <v>2010</v>
      </c>
      <c r="B87" s="24"/>
      <c r="C87" s="44">
        <f>C41/1</f>
        <v>3102.443940704361</v>
      </c>
      <c r="D87" s="45"/>
      <c r="E87" s="44">
        <f>E41/1</f>
        <v>4797.8083315959593</v>
      </c>
      <c r="F87" s="45"/>
      <c r="G87" s="62">
        <v>-3</v>
      </c>
      <c r="H87" s="24"/>
      <c r="I87" s="46"/>
      <c r="J87" s="24"/>
      <c r="K87" s="46"/>
      <c r="L87" s="24"/>
      <c r="M87" s="62">
        <v>-3</v>
      </c>
      <c r="N87" s="45"/>
      <c r="O87" s="44">
        <f>O41/1</f>
        <v>551.97548377146018</v>
      </c>
      <c r="P87" s="45"/>
      <c r="Q87" s="44">
        <f>Q41/1</f>
        <v>832.33492610041594</v>
      </c>
      <c r="R87" s="45"/>
      <c r="S87" s="44">
        <f>S41/1</f>
        <v>696.73416879228125</v>
      </c>
      <c r="T87" s="45"/>
      <c r="U87" s="44">
        <f>U41/1</f>
        <v>689.75746050993803</v>
      </c>
      <c r="V87" s="45"/>
      <c r="W87" s="19"/>
      <c r="X87" s="19"/>
      <c r="Y87" s="19"/>
    </row>
    <row r="88" spans="1:25" s="4" customFormat="1" ht="9.6" customHeight="1" x14ac:dyDescent="0.15">
      <c r="A88" s="11" t="s">
        <v>44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4"/>
    </row>
    <row r="89" spans="1:25" s="67" customFormat="1" ht="9" customHeight="1" x14ac:dyDescent="0.2">
      <c r="A89" s="64" t="s">
        <v>45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6"/>
    </row>
    <row r="90" spans="1:25" s="5" customFormat="1" ht="9" customHeight="1" x14ac:dyDescent="0.15">
      <c r="A90" s="11" t="s">
        <v>53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</row>
    <row r="91" spans="1:25" s="5" customFormat="1" ht="9" customHeight="1" x14ac:dyDescent="0.15">
      <c r="A91" s="15" t="s">
        <v>47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s="5" customFormat="1" ht="9" customHeight="1" x14ac:dyDescent="0.15">
      <c r="A92" s="17" t="s">
        <v>48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</row>
    <row r="93" spans="1:25" s="5" customFormat="1" ht="9" customHeight="1" x14ac:dyDescent="0.15">
      <c r="A93" s="17" t="s">
        <v>49</v>
      </c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</row>
    <row r="94" spans="1:25" s="4" customFormat="1" ht="9.6" customHeight="1" x14ac:dyDescent="0.15">
      <c r="A94" s="13" t="s">
        <v>54</v>
      </c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</row>
    <row r="95" spans="1:25" s="4" customFormat="1" ht="9" customHeight="1" x14ac:dyDescent="0.15">
      <c r="A95" s="15" t="s">
        <v>46</v>
      </c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</row>
    <row r="96" spans="1:25" s="4" customFormat="1" ht="6" customHeight="1" x14ac:dyDescent="0.15">
      <c r="A96" s="15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</row>
    <row r="97" spans="1:25" ht="9" customHeight="1" x14ac:dyDescent="0.2">
      <c r="A97" s="63" t="s">
        <v>55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</row>
    <row r="98" spans="1:25" ht="9" customHeight="1" x14ac:dyDescent="0.2">
      <c r="A98" s="59" t="s">
        <v>56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</row>
    <row r="99" spans="1:25" ht="9" customHeight="1" x14ac:dyDescent="0.2">
      <c r="A99" s="59" t="s">
        <v>63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</row>
    <row r="100" spans="1:25" ht="9.6" customHeight="1" x14ac:dyDescent="0.2">
      <c r="A100" s="56" t="s">
        <v>57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ht="9" customHeight="1" x14ac:dyDescent="0.2">
      <c r="A101" s="56" t="s">
        <v>58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ht="9" customHeight="1" x14ac:dyDescent="0.2">
      <c r="A102" s="56" t="s">
        <v>59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ht="9" customHeight="1" x14ac:dyDescent="0.2">
      <c r="A103" s="56" t="s">
        <v>60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ht="9" customHeight="1" x14ac:dyDescent="0.2">
      <c r="A104" s="56" t="s">
        <v>61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ht="6" customHeight="1" x14ac:dyDescent="0.2">
      <c r="A105" s="16" t="s">
        <v>0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</row>
    <row r="106" spans="1:25" s="57" customFormat="1" ht="9" customHeight="1" x14ac:dyDescent="0.2">
      <c r="A106" s="16" t="s">
        <v>66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s="57" customFormat="1" ht="9" customHeight="1" x14ac:dyDescent="0.2">
      <c r="A107" s="17" t="s">
        <v>50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ht="9" customHeight="1" x14ac:dyDescent="0.2">
      <c r="A108" s="17" t="s">
        <v>64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</sheetData>
  <mergeCells count="6">
    <mergeCell ref="A47:V47"/>
    <mergeCell ref="A48:V48"/>
    <mergeCell ref="A1:V1"/>
    <mergeCell ref="A2:V2"/>
    <mergeCell ref="A3:V3"/>
    <mergeCell ref="A46:V46"/>
  </mergeCells>
  <phoneticPr fontId="2" type="noConversion"/>
  <printOptions gridLinesSet="0"/>
  <pageMargins left="0.8" right="0.8" top="0.75" bottom="0.5" header="0.5" footer="0.5"/>
  <pageSetup firstPageNumber="232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5" max="21" man="1"/>
  </rowBreaks>
  <ignoredErrors>
    <ignoredError sqref="P55:P79 V52:V53 P54 P52:P53 T54 R54 V54 R52:R53 D54 R55:R79 T52:T53 V55:V79 T55:T7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TABLE13.14</vt:lpstr>
      <vt:lpstr>TABLE13.14!Print_Area</vt:lpstr>
      <vt:lpstr>Print_Area</vt:lpstr>
      <vt:lpstr>TABLE13.14!Print_Area_MI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2013-04-15T13:51:36Z</cp:lastPrinted>
  <dcterms:created xsi:type="dcterms:W3CDTF">1999-10-08T13:43:12Z</dcterms:created>
  <dcterms:modified xsi:type="dcterms:W3CDTF">2013-04-24T15:07:17Z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1507574692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1507574692</vt:i4>
  </property>
</Properties>
</file>