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24226"/>
  <xr:revisionPtr revIDLastSave="0" documentId="13_ncr:1_{3E9CB525-BAEF-46D4-B2DF-413987BE3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PS_23" sheetId="24" r:id="rId1"/>
  </sheets>
  <definedNames>
    <definedName name="_xlnm.Print_Area" localSheetId="0">IPPS_23!$A$1:$J$53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24" l="1"/>
  <c r="B53" i="24"/>
  <c r="B38" i="24"/>
  <c r="J38" i="24" l="1"/>
  <c r="B52" i="24" l="1"/>
  <c r="B31" i="24"/>
  <c r="B24" i="24"/>
  <c r="B19" i="24"/>
  <c r="B18" i="24"/>
  <c r="J50" i="24"/>
  <c r="J46" i="24"/>
  <c r="J45" i="24"/>
  <c r="J44" i="24"/>
  <c r="J41" i="24"/>
  <c r="J40" i="24"/>
  <c r="J39" i="24"/>
  <c r="J35" i="24"/>
  <c r="J34" i="24"/>
  <c r="J33" i="24"/>
  <c r="J32" i="24"/>
  <c r="J30" i="24"/>
  <c r="J29" i="24"/>
  <c r="J28" i="24"/>
  <c r="J22" i="24"/>
  <c r="J21" i="24"/>
  <c r="H28" i="24"/>
  <c r="D25" i="24"/>
  <c r="F50" i="24" l="1"/>
  <c r="D16" i="24"/>
  <c r="C16" i="24"/>
  <c r="G46" i="24"/>
  <c r="G45" i="24"/>
  <c r="G44" i="24"/>
  <c r="G43" i="24"/>
  <c r="G41" i="24"/>
  <c r="G40" i="24"/>
  <c r="G39" i="24"/>
  <c r="G35" i="24"/>
  <c r="G33" i="24"/>
  <c r="G29" i="24"/>
  <c r="G28" i="24"/>
  <c r="G21" i="24"/>
  <c r="C42" i="24"/>
  <c r="C37" i="24"/>
  <c r="C26" i="24"/>
  <c r="C20" i="24"/>
  <c r="J19" i="24"/>
  <c r="J18" i="24"/>
  <c r="J17" i="24" s="1"/>
  <c r="G37" i="24" l="1"/>
  <c r="C36" i="24"/>
  <c r="C25" i="24" s="1"/>
  <c r="G42" i="24"/>
  <c r="G50" i="24"/>
  <c r="B17" i="24"/>
  <c r="B43" i="24" l="1"/>
  <c r="J43" i="24" s="1"/>
  <c r="G36" i="24"/>
  <c r="D43" i="24"/>
  <c r="D39" i="24"/>
  <c r="D22" i="24"/>
  <c r="D46" i="24"/>
  <c r="D33" i="24"/>
  <c r="D45" i="24"/>
  <c r="D32" i="24"/>
  <c r="D44" i="24"/>
  <c r="D40" i="24"/>
  <c r="D28" i="24"/>
  <c r="D35" i="24"/>
  <c r="D21" i="24"/>
  <c r="D30" i="24"/>
  <c r="D41" i="24"/>
  <c r="D29" i="24"/>
  <c r="D50" i="24"/>
  <c r="D34" i="24"/>
  <c r="D42" i="24" l="1"/>
  <c r="D20" i="24"/>
  <c r="D26" i="24"/>
  <c r="D37" i="24"/>
  <c r="D36" i="24" s="1"/>
  <c r="G34" i="24" l="1"/>
  <c r="G30" i="24"/>
  <c r="G32" i="24" l="1"/>
  <c r="G26" i="24" l="1"/>
  <c r="G25" i="24" s="1"/>
  <c r="G16" i="24" s="1"/>
  <c r="G22" i="24" l="1"/>
  <c r="G20" i="24" l="1"/>
  <c r="H41" i="24" l="1"/>
  <c r="H29" i="24"/>
  <c r="H46" i="24"/>
  <c r="H33" i="24"/>
  <c r="H40" i="24"/>
  <c r="H39" i="24"/>
  <c r="H50" i="24"/>
  <c r="H35" i="24"/>
  <c r="H21" i="24"/>
  <c r="H45" i="24"/>
  <c r="H44" i="24"/>
  <c r="H43" i="24"/>
  <c r="H30" i="24"/>
  <c r="H34" i="24"/>
  <c r="H32" i="24"/>
  <c r="H22" i="24"/>
  <c r="H26" i="24" l="1"/>
  <c r="H37" i="24"/>
  <c r="H42" i="24"/>
  <c r="H20" i="24"/>
  <c r="H36" i="24" l="1"/>
  <c r="H25" i="24" s="1"/>
  <c r="H16" i="24" s="1"/>
  <c r="J31" i="24" l="1"/>
  <c r="B27" i="24"/>
  <c r="J27" i="24" s="1"/>
  <c r="B23" i="24" l="1"/>
  <c r="J24" i="24"/>
  <c r="J23" i="24" s="1"/>
  <c r="B12" i="24"/>
  <c r="J26" i="24" l="1"/>
  <c r="J20" i="24"/>
  <c r="B26" i="24"/>
  <c r="J37" i="24" l="1"/>
  <c r="J48" i="24" s="1"/>
  <c r="J42" i="24"/>
  <c r="J36" i="24" l="1"/>
  <c r="J25" i="24" s="1"/>
  <c r="B37" i="24"/>
  <c r="B42" i="24" l="1"/>
  <c r="B36" i="24" l="1"/>
  <c r="B25" i="24" l="1"/>
  <c r="B16" i="24" s="1"/>
</calcChain>
</file>

<file path=xl/sharedStrings.xml><?xml version="1.0" encoding="utf-8"?>
<sst xmlns="http://schemas.openxmlformats.org/spreadsheetml/2006/main" count="76" uniqueCount="72">
  <si>
    <t>Contract Labor</t>
  </si>
  <si>
    <t>Malpractice</t>
  </si>
  <si>
    <t xml:space="preserve">   Compensation</t>
  </si>
  <si>
    <t xml:space="preserve">            Wages and Salaries</t>
  </si>
  <si>
    <t xml:space="preserve">            Employee Benefits</t>
  </si>
  <si>
    <t xml:space="preserve">   Utilities</t>
  </si>
  <si>
    <t xml:space="preserve">            Electricity</t>
  </si>
  <si>
    <t>PPI for Commercial Electric Power</t>
  </si>
  <si>
    <t xml:space="preserve">   Professional Liability Insurance</t>
  </si>
  <si>
    <t xml:space="preserve">            Malpractice</t>
  </si>
  <si>
    <t>CMS Hospital Professional Liability Insurance Premium Index</t>
  </si>
  <si>
    <t xml:space="preserve">   All Other Products and Services</t>
  </si>
  <si>
    <t xml:space="preserve">      All Other Products</t>
  </si>
  <si>
    <t xml:space="preserve">            Pharmaceuticals</t>
  </si>
  <si>
    <t xml:space="preserve">            Food:  Direct Purchases</t>
  </si>
  <si>
    <t xml:space="preserve">            Food:  Contract Services</t>
  </si>
  <si>
    <t>CPI - U for Food Away From Home</t>
  </si>
  <si>
    <t xml:space="preserve">            Chemicals</t>
  </si>
  <si>
    <t xml:space="preserve">            Medical Instruments</t>
  </si>
  <si>
    <t xml:space="preserve">            Rubber &amp; Plastics</t>
  </si>
  <si>
    <t xml:space="preserve">            Paper and Printing Products</t>
  </si>
  <si>
    <t xml:space="preserve">            Miscellaneous Products</t>
  </si>
  <si>
    <t xml:space="preserve">      All Other Services</t>
  </si>
  <si>
    <t xml:space="preserve">         Labor-Related Services</t>
  </si>
  <si>
    <t xml:space="preserve">         Nonlabor-Related Services</t>
  </si>
  <si>
    <t xml:space="preserve">            Telephone Services</t>
  </si>
  <si>
    <t>CPI - U for Telephone Services</t>
  </si>
  <si>
    <t>CPI - U for All Items Less Food and Energy</t>
  </si>
  <si>
    <t xml:space="preserve">Total </t>
  </si>
  <si>
    <t>Residual</t>
  </si>
  <si>
    <t>Labor-Related Share</t>
  </si>
  <si>
    <t>Category</t>
  </si>
  <si>
    <t>Pharmaceuticals</t>
  </si>
  <si>
    <t>PPI for Rubber and Plastic Products</t>
  </si>
  <si>
    <t>ECI for Total compensation for Private industry workers in Financial activities</t>
  </si>
  <si>
    <t>PPI for Finished Goods Less Food and Energy</t>
  </si>
  <si>
    <t>ECI for Total compensation for Private industry workers in Office and administrative support</t>
  </si>
  <si>
    <t>ECI for Total compensation for Private industry workers in Installation, maintenance, and repair</t>
  </si>
  <si>
    <t>ECI for Total compensation for Private industry workers in Professional and related</t>
  </si>
  <si>
    <t>ECI for Total compensation for Private industry workers in Service occupations</t>
  </si>
  <si>
    <t>PPI for Processed Foods &amp; Feeds</t>
  </si>
  <si>
    <t>Total Professional Fees</t>
  </si>
  <si>
    <t>Blood</t>
  </si>
  <si>
    <t xml:space="preserve">            Blood</t>
  </si>
  <si>
    <t xml:space="preserve">            Administrative and Facility Support Services</t>
  </si>
  <si>
    <t>Derivation of Cost Weights for 2023-based IPPS Market Basket</t>
  </si>
  <si>
    <t>Cost Weights Obtained from MCR</t>
  </si>
  <si>
    <t>2023 (5% Trim)</t>
  </si>
  <si>
    <t>This is what needs to be broken out into more detail using the 2017 Benchmark I-O Data</t>
  </si>
  <si>
    <t>2017 Benchmark 
I-O Expenses
(in $millions)</t>
  </si>
  <si>
    <t>Price Proxy Used to Age 2017 I-O Expenses to 2023</t>
  </si>
  <si>
    <t>2023 Value of Price Proxy
(Base Year 2017)</t>
  </si>
  <si>
    <t>2017 I-O Expenses Inflated to 2023
(in $millions)</t>
  </si>
  <si>
    <t xml:space="preserve">2023 Final Cost Weights </t>
  </si>
  <si>
    <t xml:space="preserve">            Fuel: Oil and Gas</t>
  </si>
  <si>
    <t xml:space="preserve">            Installation, Maintenance, and Repair Services</t>
  </si>
  <si>
    <t xml:space="preserve">            Professional Fees: Labor-Related</t>
  </si>
  <si>
    <t xml:space="preserve">            Professional Fees: Nonlabor-Related</t>
  </si>
  <si>
    <t xml:space="preserve">            All Other: Nonlabor-Related Services</t>
  </si>
  <si>
    <t xml:space="preserve"> Benchmark I-O</t>
  </si>
  <si>
    <t xml:space="preserve"> Home Office Contract Labor</t>
  </si>
  <si>
    <t>Home Office Contract Labor</t>
  </si>
  <si>
    <t>% of All Other</t>
  </si>
  <si>
    <t>Blend of PPIs</t>
  </si>
  <si>
    <t>% of All Other after inflated to 2023</t>
  </si>
  <si>
    <t xml:space="preserve">            Financial Services</t>
  </si>
  <si>
    <t xml:space="preserve">           Labor-Related Portion</t>
  </si>
  <si>
    <t>2023 Initial Cost Weights from MCR</t>
  </si>
  <si>
    <t>Wages and Salaries</t>
  </si>
  <si>
    <t>Employee Benefits</t>
  </si>
  <si>
    <t xml:space="preserve">           Labor-Related Portion (62 percent)</t>
  </si>
  <si>
    <t xml:space="preserve">            All Other: Labor-Related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</si>
</sst>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000000000000"/>
    <numFmt numFmtId="165" formatCode="0.0%"/>
    <numFmt numFmtId="166" formatCode="0.000"/>
    <numFmt numFmtId="167" formatCode="0.0"/>
    <numFmt numFmtId="168" formatCode="0.0000"/>
    <numFmt numFmtId="169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ptos"/>
      <family val="2"/>
    </font>
    <font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i/>
      <u/>
      <sz val="11"/>
      <name val="Aptos"/>
      <family val="2"/>
    </font>
    <font>
      <sz val="11"/>
      <name val="Aptos"/>
      <family val="2"/>
    </font>
    <font>
      <b/>
      <i/>
      <sz val="11"/>
      <color theme="1"/>
      <name val="Aptos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6" fillId="3" borderId="8" xfId="0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164" fontId="6" fillId="0" borderId="7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1" fillId="0" borderId="0" xfId="0" applyFont="1" applyAlignment="1">
      <alignment wrapText="1"/>
    </xf>
    <xf numFmtId="167" fontId="6" fillId="0" borderId="3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9" fontId="6" fillId="0" borderId="0" xfId="1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167" fontId="6" fillId="0" borderId="12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165" fontId="6" fillId="0" borderId="15" xfId="1" applyNumberFormat="1" applyFont="1" applyBorder="1" applyAlignment="1">
      <alignment horizontal="center"/>
    </xf>
    <xf numFmtId="165" fontId="6" fillId="0" borderId="13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6" fillId="0" borderId="4" xfId="1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167" fontId="10" fillId="0" borderId="0" xfId="0" applyNumberFormat="1" applyFont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4" fillId="0" borderId="10" xfId="0" applyFont="1" applyBorder="1" applyAlignment="1">
      <alignment horizontal="left"/>
    </xf>
    <xf numFmtId="167" fontId="6" fillId="4" borderId="3" xfId="0" applyNumberFormat="1" applyFont="1" applyFill="1" applyBorder="1" applyAlignment="1">
      <alignment horizontal="center"/>
    </xf>
    <xf numFmtId="167" fontId="4" fillId="4" borderId="3" xfId="0" applyNumberFormat="1" applyFont="1" applyFill="1" applyBorder="1" applyAlignment="1">
      <alignment horizontal="center"/>
    </xf>
    <xf numFmtId="167" fontId="4" fillId="4" borderId="5" xfId="0" applyNumberFormat="1" applyFont="1" applyFill="1" applyBorder="1" applyAlignment="1">
      <alignment horizontal="center"/>
    </xf>
    <xf numFmtId="167" fontId="6" fillId="4" borderId="0" xfId="0" applyNumberFormat="1" applyFont="1" applyFill="1" applyAlignment="1">
      <alignment horizontal="center"/>
    </xf>
    <xf numFmtId="167" fontId="4" fillId="4" borderId="0" xfId="0" applyNumberFormat="1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5" fontId="4" fillId="4" borderId="0" xfId="1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3" fontId="4" fillId="4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67" fontId="4" fillId="0" borderId="10" xfId="0" applyNumberFormat="1" applyFont="1" applyBorder="1" applyAlignment="1">
      <alignment horizontal="center"/>
    </xf>
    <xf numFmtId="0" fontId="9" fillId="4" borderId="0" xfId="0" applyFont="1" applyFill="1" applyAlignment="1">
      <alignment horizontal="left"/>
    </xf>
    <xf numFmtId="167" fontId="6" fillId="4" borderId="4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9" fillId="4" borderId="0" xfId="0" applyFont="1" applyFill="1"/>
    <xf numFmtId="0" fontId="7" fillId="4" borderId="0" xfId="0" applyFont="1" applyFill="1" applyAlignment="1">
      <alignment horizontal="left"/>
    </xf>
    <xf numFmtId="167" fontId="4" fillId="4" borderId="4" xfId="0" applyNumberFormat="1" applyFont="1" applyFill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0" fontId="3" fillId="0" borderId="0" xfId="0" applyFont="1"/>
  </cellXfs>
  <cellStyles count="3"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1C42-DA4F-4F07-9621-1C2B87993244}">
  <sheetPr>
    <tabColor theme="4" tint="0.59999389629810485"/>
    <pageSetUpPr fitToPage="1"/>
  </sheetPr>
  <dimension ref="A1:M67"/>
  <sheetViews>
    <sheetView tabSelected="1" zoomScaleNormal="100" zoomScaleSheetLayoutView="130" workbookViewId="0"/>
  </sheetViews>
  <sheetFormatPr defaultColWidth="9.140625" defaultRowHeight="15" x14ac:dyDescent="0.25"/>
  <cols>
    <col min="1" max="1" width="48" style="2" bestFit="1" customWidth="1"/>
    <col min="2" max="2" width="17.42578125" style="1" customWidth="1"/>
    <col min="3" max="4" width="14.42578125" style="1" customWidth="1"/>
    <col min="5" max="5" width="51.85546875" style="1" customWidth="1"/>
    <col min="6" max="6" width="13.7109375" style="1" bestFit="1" customWidth="1"/>
    <col min="7" max="7" width="10.7109375" style="1" bestFit="1" customWidth="1"/>
    <col min="8" max="8" width="14.42578125" style="1" customWidth="1"/>
    <col min="9" max="9" width="4.5703125" style="1" customWidth="1"/>
    <col min="10" max="10" width="14.7109375" style="1" customWidth="1"/>
    <col min="11" max="12" width="12.85546875" style="1" customWidth="1"/>
    <col min="13" max="16384" width="9.140625" style="1"/>
  </cols>
  <sheetData>
    <row r="1" spans="1:13" ht="15.75" customHeight="1" x14ac:dyDescent="0.25">
      <c r="A1" s="80" t="s">
        <v>45</v>
      </c>
      <c r="B1" s="22"/>
      <c r="C1" s="22"/>
      <c r="D1" s="22"/>
      <c r="H1" s="22"/>
    </row>
    <row r="3" spans="1:13" x14ac:dyDescent="0.25">
      <c r="A3" s="14" t="s">
        <v>46</v>
      </c>
      <c r="B3" s="3" t="s">
        <v>47</v>
      </c>
      <c r="E3" s="3"/>
      <c r="G3" s="4"/>
      <c r="K3" s="4"/>
      <c r="L3" s="4"/>
    </row>
    <row r="4" spans="1:13" x14ac:dyDescent="0.25">
      <c r="A4" s="2" t="s">
        <v>68</v>
      </c>
      <c r="B4" s="5">
        <v>37.774000000000001</v>
      </c>
      <c r="C4" s="6"/>
      <c r="D4" s="6"/>
      <c r="E4" s="5"/>
      <c r="G4" s="6"/>
      <c r="H4" s="6"/>
      <c r="K4" s="5"/>
      <c r="L4" s="6"/>
    </row>
    <row r="5" spans="1:13" x14ac:dyDescent="0.25">
      <c r="A5" s="2" t="s">
        <v>69</v>
      </c>
      <c r="B5" s="5">
        <v>9.8019999999999996</v>
      </c>
      <c r="C5" s="6"/>
      <c r="D5" s="6"/>
      <c r="E5" s="5"/>
      <c r="G5" s="6"/>
      <c r="H5" s="6"/>
      <c r="K5" s="5"/>
      <c r="L5" s="6"/>
    </row>
    <row r="6" spans="1:13" x14ac:dyDescent="0.25">
      <c r="A6" s="2" t="s">
        <v>0</v>
      </c>
      <c r="B6" s="5">
        <v>3.5649999999999999</v>
      </c>
      <c r="E6" s="5"/>
      <c r="G6" s="6"/>
      <c r="K6" s="5"/>
      <c r="L6" s="6"/>
    </row>
    <row r="7" spans="1:13" x14ac:dyDescent="0.25">
      <c r="A7" s="2" t="s">
        <v>32</v>
      </c>
      <c r="B7" s="5">
        <v>7.4</v>
      </c>
      <c r="E7" s="5"/>
      <c r="G7" s="6"/>
      <c r="K7" s="5"/>
      <c r="L7" s="6"/>
    </row>
    <row r="8" spans="1:13" x14ac:dyDescent="0.25">
      <c r="A8" s="2" t="s">
        <v>1</v>
      </c>
      <c r="B8" s="5">
        <v>1.0189999999999999</v>
      </c>
      <c r="E8" s="5"/>
      <c r="G8" s="6"/>
      <c r="K8" s="5"/>
      <c r="L8" s="6"/>
    </row>
    <row r="9" spans="1:13" x14ac:dyDescent="0.25">
      <c r="A9" s="2" t="s">
        <v>42</v>
      </c>
      <c r="B9" s="5">
        <v>0.53900000000000003</v>
      </c>
      <c r="E9" s="5"/>
      <c r="G9" s="6"/>
      <c r="K9" s="5"/>
      <c r="L9" s="6"/>
    </row>
    <row r="10" spans="1:13" x14ac:dyDescent="0.25">
      <c r="A10" s="2" t="s">
        <v>61</v>
      </c>
      <c r="B10" s="5">
        <v>6.7240000000000002</v>
      </c>
      <c r="E10" s="5"/>
      <c r="G10" s="6"/>
      <c r="K10" s="5"/>
      <c r="L10" s="6"/>
    </row>
    <row r="11" spans="1:13" x14ac:dyDescent="0.25">
      <c r="B11" s="5"/>
      <c r="E11" s="5"/>
    </row>
    <row r="12" spans="1:13" x14ac:dyDescent="0.25">
      <c r="A12" s="2" t="s">
        <v>29</v>
      </c>
      <c r="B12" s="5">
        <f>100-SUM(B4:B10)</f>
        <v>33.177000000000007</v>
      </c>
      <c r="C12" s="15" t="s">
        <v>48</v>
      </c>
      <c r="D12" s="15"/>
      <c r="E12" s="5"/>
      <c r="G12" s="6"/>
      <c r="H12" s="15"/>
    </row>
    <row r="13" spans="1:13" s="8" customFormat="1" x14ac:dyDescent="0.25">
      <c r="A13" s="7"/>
    </row>
    <row r="14" spans="1:13" s="8" customFormat="1" x14ac:dyDescent="0.25">
      <c r="A14" s="7"/>
    </row>
    <row r="15" spans="1:13" ht="90" x14ac:dyDescent="0.25">
      <c r="A15" s="16" t="s">
        <v>31</v>
      </c>
      <c r="B15" s="54" t="s">
        <v>67</v>
      </c>
      <c r="C15" s="31" t="s">
        <v>49</v>
      </c>
      <c r="D15" s="55" t="s">
        <v>62</v>
      </c>
      <c r="E15" s="56" t="s">
        <v>50</v>
      </c>
      <c r="F15" s="57" t="s">
        <v>51</v>
      </c>
      <c r="G15" s="31" t="s">
        <v>52</v>
      </c>
      <c r="H15" s="31" t="s">
        <v>64</v>
      </c>
      <c r="I15" s="18"/>
      <c r="J15" s="17" t="s">
        <v>53</v>
      </c>
      <c r="L15" s="69"/>
    </row>
    <row r="16" spans="1:13" s="9" customFormat="1" x14ac:dyDescent="0.25">
      <c r="A16" s="19" t="s">
        <v>28</v>
      </c>
      <c r="B16" s="32">
        <f>SUM(B17,B25,B23)</f>
        <v>66.823000000000008</v>
      </c>
      <c r="C16" s="33">
        <f>SUM(C20,C25)</f>
        <v>207657.7153692508</v>
      </c>
      <c r="D16" s="34">
        <f>SUM(D20,D25)</f>
        <v>1</v>
      </c>
      <c r="E16" s="75"/>
      <c r="F16" s="75"/>
      <c r="G16" s="33">
        <f>SUM(G20,G25)</f>
        <v>254488.67455104075</v>
      </c>
      <c r="H16" s="35">
        <f>SUM(H20,H25)</f>
        <v>1</v>
      </c>
      <c r="J16" s="51"/>
      <c r="K16" s="10"/>
      <c r="L16" s="10"/>
      <c r="M16" s="10"/>
    </row>
    <row r="17" spans="1:13" s="9" customFormat="1" x14ac:dyDescent="0.25">
      <c r="A17" s="20" t="s">
        <v>2</v>
      </c>
      <c r="B17" s="23">
        <f>SUM(B18:B19)</f>
        <v>51.140999999999998</v>
      </c>
      <c r="C17" s="62"/>
      <c r="D17" s="62"/>
      <c r="E17" s="74"/>
      <c r="F17" s="74"/>
      <c r="G17" s="62"/>
      <c r="H17" s="72"/>
      <c r="J17" s="52">
        <f>SUM(J18:J19)</f>
        <v>51.140999999999998</v>
      </c>
      <c r="K17" s="10"/>
      <c r="L17" s="10"/>
      <c r="M17" s="10"/>
    </row>
    <row r="18" spans="1:13" x14ac:dyDescent="0.25">
      <c r="A18" s="21" t="s">
        <v>3</v>
      </c>
      <c r="B18" s="23">
        <f>ROUND(B4+(B$6*($B$4/SUM($B$4:$B$5))),3)</f>
        <v>40.604999999999997</v>
      </c>
      <c r="C18" s="62"/>
      <c r="D18" s="62"/>
      <c r="E18" s="76"/>
      <c r="F18" s="65"/>
      <c r="G18" s="62"/>
      <c r="H18" s="72"/>
      <c r="J18" s="53">
        <f>B18</f>
        <v>40.604999999999997</v>
      </c>
      <c r="K18" s="10"/>
      <c r="L18" s="5"/>
      <c r="M18" s="10"/>
    </row>
    <row r="19" spans="1:13" x14ac:dyDescent="0.25">
      <c r="A19" s="21" t="s">
        <v>4</v>
      </c>
      <c r="B19" s="23">
        <f>ROUND(B5+(B$6*($B$5/SUM($B$4:$B$5))),3)</f>
        <v>10.536</v>
      </c>
      <c r="C19" s="62"/>
      <c r="D19" s="62"/>
      <c r="E19" s="76"/>
      <c r="F19" s="65"/>
      <c r="G19" s="62"/>
      <c r="H19" s="72"/>
      <c r="J19" s="53">
        <f>B19</f>
        <v>10.536</v>
      </c>
      <c r="K19" s="10"/>
      <c r="L19" s="5"/>
      <c r="M19" s="10"/>
    </row>
    <row r="20" spans="1:13" s="9" customFormat="1" x14ac:dyDescent="0.25">
      <c r="A20" s="20" t="s">
        <v>5</v>
      </c>
      <c r="B20" s="59"/>
      <c r="C20" s="38">
        <f>SUM(C21:C22)</f>
        <v>10739</v>
      </c>
      <c r="D20" s="39">
        <f>SUM(D21:D22)</f>
        <v>5.1714909705638572E-2</v>
      </c>
      <c r="E20" s="73"/>
      <c r="F20" s="74"/>
      <c r="G20" s="38">
        <f>SUM(G21:G22)</f>
        <v>14165.124252185024</v>
      </c>
      <c r="H20" s="40">
        <f>SUM(H21:H22)</f>
        <v>5.566111842570047E-2</v>
      </c>
      <c r="J20" s="52">
        <f>SUM(J21:J22)</f>
        <v>1.847</v>
      </c>
      <c r="K20" s="10"/>
      <c r="L20" s="10"/>
      <c r="M20" s="10"/>
    </row>
    <row r="21" spans="1:13" x14ac:dyDescent="0.25">
      <c r="A21" s="21" t="s">
        <v>6</v>
      </c>
      <c r="B21" s="60"/>
      <c r="C21" s="25">
        <v>8952</v>
      </c>
      <c r="D21" s="36">
        <f>C21/$C$16</f>
        <v>4.3109402335867075E-2</v>
      </c>
      <c r="E21" s="30" t="s">
        <v>7</v>
      </c>
      <c r="F21" s="6">
        <v>1.2645269140755566</v>
      </c>
      <c r="G21" s="25">
        <f>C21*F21</f>
        <v>11320.044934804382</v>
      </c>
      <c r="H21" s="37">
        <f>G21/$G$16</f>
        <v>4.4481527340164646E-2</v>
      </c>
      <c r="J21" s="53">
        <f>ROUND(H21*$B$12,3)</f>
        <v>1.476</v>
      </c>
      <c r="K21" s="10"/>
      <c r="L21" s="5"/>
      <c r="M21" s="10"/>
    </row>
    <row r="22" spans="1:13" x14ac:dyDescent="0.25">
      <c r="A22" s="21" t="s">
        <v>54</v>
      </c>
      <c r="B22" s="60"/>
      <c r="C22" s="25">
        <v>1787</v>
      </c>
      <c r="D22" s="36">
        <f>C22/$C$16</f>
        <v>8.6055073697714982E-3</v>
      </c>
      <c r="E22" s="30" t="s">
        <v>63</v>
      </c>
      <c r="F22" s="6">
        <v>1.5920981070960503</v>
      </c>
      <c r="G22" s="25">
        <f>C22*F22</f>
        <v>2845.0793173806419</v>
      </c>
      <c r="H22" s="37">
        <f>G22/$G$16</f>
        <v>1.1179591085535821E-2</v>
      </c>
      <c r="J22" s="53">
        <f>ROUND(H22*$B$12,3)</f>
        <v>0.371</v>
      </c>
      <c r="K22" s="10"/>
      <c r="L22" s="5"/>
      <c r="M22" s="10"/>
    </row>
    <row r="23" spans="1:13" s="9" customFormat="1" x14ac:dyDescent="0.25">
      <c r="A23" s="20" t="s">
        <v>8</v>
      </c>
      <c r="B23" s="23">
        <f>B24</f>
        <v>1.0189999999999999</v>
      </c>
      <c r="C23" s="62"/>
      <c r="D23" s="62"/>
      <c r="E23" s="71"/>
      <c r="F23" s="67"/>
      <c r="G23" s="62"/>
      <c r="H23" s="72"/>
      <c r="J23" s="52">
        <f>J24</f>
        <v>1.0189999999999999</v>
      </c>
      <c r="K23" s="10"/>
      <c r="L23" s="10"/>
      <c r="M23" s="10"/>
    </row>
    <row r="24" spans="1:13" x14ac:dyDescent="0.25">
      <c r="A24" s="21" t="s">
        <v>9</v>
      </c>
      <c r="B24" s="24">
        <f>ROUND(B8,3)</f>
        <v>1.0189999999999999</v>
      </c>
      <c r="C24" s="63"/>
      <c r="D24" s="63"/>
      <c r="E24" s="30" t="s">
        <v>10</v>
      </c>
      <c r="F24" s="67"/>
      <c r="G24" s="63"/>
      <c r="H24" s="78"/>
      <c r="J24" s="53">
        <f>B24</f>
        <v>1.0189999999999999</v>
      </c>
      <c r="K24" s="10"/>
      <c r="L24" s="5"/>
      <c r="M24" s="10"/>
    </row>
    <row r="25" spans="1:13" s="9" customFormat="1" x14ac:dyDescent="0.25">
      <c r="A25" s="20" t="s">
        <v>11</v>
      </c>
      <c r="B25" s="23">
        <f>B26+B36</f>
        <v>14.663</v>
      </c>
      <c r="C25" s="38">
        <f>C26+C36</f>
        <v>196918.7153692508</v>
      </c>
      <c r="D25" s="39">
        <f>D26+D36</f>
        <v>0.94828509029436148</v>
      </c>
      <c r="E25" s="74"/>
      <c r="F25" s="67"/>
      <c r="G25" s="38">
        <f>G26+G36</f>
        <v>240323.55029885573</v>
      </c>
      <c r="H25" s="40">
        <f>H26+H36</f>
        <v>0.94433888157429957</v>
      </c>
      <c r="J25" s="52">
        <f>J26+J36</f>
        <v>45.993000000000002</v>
      </c>
      <c r="K25" s="10"/>
      <c r="L25" s="10"/>
      <c r="M25" s="10"/>
    </row>
    <row r="26" spans="1:13" s="9" customFormat="1" x14ac:dyDescent="0.25">
      <c r="A26" s="20" t="s">
        <v>12</v>
      </c>
      <c r="B26" s="23">
        <f>SUM(B27:B35)</f>
        <v>7.9390000000000001</v>
      </c>
      <c r="C26" s="38">
        <f>SUM(C27:C35)</f>
        <v>78921</v>
      </c>
      <c r="D26" s="39">
        <f>SUM(D27:D35)</f>
        <v>0.38005330001664039</v>
      </c>
      <c r="E26" s="77"/>
      <c r="F26" s="67"/>
      <c r="G26" s="38">
        <f>SUM(G27:G35)</f>
        <v>96454.436141094106</v>
      </c>
      <c r="H26" s="40">
        <f>SUM(H27:H35)</f>
        <v>0.37901268616866879</v>
      </c>
      <c r="J26" s="52">
        <f>SUM(J27:J35)</f>
        <v>20.513000000000002</v>
      </c>
      <c r="K26" s="10"/>
      <c r="L26" s="10"/>
      <c r="M26" s="10"/>
    </row>
    <row r="27" spans="1:13" x14ac:dyDescent="0.25">
      <c r="A27" s="21" t="s">
        <v>13</v>
      </c>
      <c r="B27" s="24">
        <f>B7</f>
        <v>7.4</v>
      </c>
      <c r="C27" s="63"/>
      <c r="D27" s="63"/>
      <c r="E27" s="71"/>
      <c r="F27" s="67"/>
      <c r="G27" s="64"/>
      <c r="H27" s="68"/>
      <c r="J27" s="53">
        <f>B27</f>
        <v>7.4</v>
      </c>
      <c r="K27" s="10"/>
      <c r="L27" s="5"/>
      <c r="M27" s="10"/>
    </row>
    <row r="28" spans="1:13" x14ac:dyDescent="0.25">
      <c r="A28" s="21" t="s">
        <v>14</v>
      </c>
      <c r="B28" s="60"/>
      <c r="C28" s="25">
        <v>8022</v>
      </c>
      <c r="D28" s="36">
        <f>C28/$C$16</f>
        <v>3.8630878634754874E-2</v>
      </c>
      <c r="E28" s="30" t="s">
        <v>40</v>
      </c>
      <c r="F28" s="6">
        <v>1.2682889132286723</v>
      </c>
      <c r="G28" s="25">
        <f t="shared" ref="G28:G30" si="0">C28*F28</f>
        <v>10174.21366192041</v>
      </c>
      <c r="H28" s="37">
        <f>G28/$G$16</f>
        <v>3.9979042996193724E-2</v>
      </c>
      <c r="J28" s="53">
        <f>ROUND(H28*$B$12,3)</f>
        <v>1.3260000000000001</v>
      </c>
      <c r="K28" s="10"/>
      <c r="L28" s="5"/>
      <c r="M28" s="10"/>
    </row>
    <row r="29" spans="1:13" x14ac:dyDescent="0.25">
      <c r="A29" s="21" t="s">
        <v>15</v>
      </c>
      <c r="B29" s="60"/>
      <c r="C29" s="25">
        <v>12963</v>
      </c>
      <c r="D29" s="36">
        <f>C29/$C$16</f>
        <v>6.2424841653244509E-2</v>
      </c>
      <c r="E29" s="30" t="s">
        <v>16</v>
      </c>
      <c r="F29" s="6">
        <v>1.3177887789801939</v>
      </c>
      <c r="G29" s="25">
        <f t="shared" si="0"/>
        <v>17082.495941920253</v>
      </c>
      <c r="H29" s="37">
        <f t="shared" ref="H29:H30" si="1">G29/$G$16</f>
        <v>6.7124778625439988E-2</v>
      </c>
      <c r="J29" s="53">
        <f>ROUND(H29*$B$12,3)</f>
        <v>2.2269999999999999</v>
      </c>
      <c r="K29" s="10"/>
      <c r="L29" s="5"/>
      <c r="M29" s="10"/>
    </row>
    <row r="30" spans="1:13" x14ac:dyDescent="0.25">
      <c r="A30" s="21" t="s">
        <v>17</v>
      </c>
      <c r="B30" s="60"/>
      <c r="C30" s="25">
        <v>3384</v>
      </c>
      <c r="D30" s="36">
        <f>C30/$C$16</f>
        <v>1.6296047531788892E-2</v>
      </c>
      <c r="E30" s="30" t="s">
        <v>63</v>
      </c>
      <c r="F30" s="6">
        <v>1.4211192213018697</v>
      </c>
      <c r="G30" s="25">
        <f t="shared" si="0"/>
        <v>4809.067444885527</v>
      </c>
      <c r="H30" s="37">
        <f t="shared" si="1"/>
        <v>1.8896980203026721E-2</v>
      </c>
      <c r="J30" s="53">
        <f>ROUND(H30*$B$12,3)</f>
        <v>0.627</v>
      </c>
      <c r="K30" s="10"/>
      <c r="L30" s="5"/>
      <c r="M30" s="10"/>
    </row>
    <row r="31" spans="1:13" x14ac:dyDescent="0.25">
      <c r="A31" s="21" t="s">
        <v>43</v>
      </c>
      <c r="B31" s="24">
        <f>ROUND(B9,3)</f>
        <v>0.53900000000000003</v>
      </c>
      <c r="C31" s="63"/>
      <c r="D31" s="63"/>
      <c r="E31" s="71"/>
      <c r="F31" s="67"/>
      <c r="G31" s="64"/>
      <c r="H31" s="68"/>
      <c r="J31" s="53">
        <f>B31</f>
        <v>0.53900000000000003</v>
      </c>
      <c r="K31" s="10"/>
      <c r="L31" s="5"/>
      <c r="M31" s="10"/>
    </row>
    <row r="32" spans="1:13" x14ac:dyDescent="0.25">
      <c r="A32" s="21" t="s">
        <v>18</v>
      </c>
      <c r="B32" s="60"/>
      <c r="C32" s="25">
        <v>36008</v>
      </c>
      <c r="D32" s="36">
        <f t="shared" ref="D32:D35" si="2">C32/$C$16</f>
        <v>0.17340073272005155</v>
      </c>
      <c r="E32" s="30" t="s">
        <v>63</v>
      </c>
      <c r="F32" s="6">
        <v>1.1228111558781404</v>
      </c>
      <c r="G32" s="25">
        <f t="shared" ref="G32:G35" si="3">C32*F32</f>
        <v>40430.184100860082</v>
      </c>
      <c r="H32" s="37">
        <f t="shared" ref="H32:H35" si="4">G32/$G$16</f>
        <v>0.15886830395177889</v>
      </c>
      <c r="J32" s="53">
        <f>ROUND(H32*$B$12,3)</f>
        <v>5.2709999999999999</v>
      </c>
      <c r="K32" s="10"/>
      <c r="L32" s="5"/>
      <c r="M32" s="10"/>
    </row>
    <row r="33" spans="1:13" x14ac:dyDescent="0.25">
      <c r="A33" s="21" t="s">
        <v>19</v>
      </c>
      <c r="B33" s="60"/>
      <c r="C33" s="25">
        <v>4018</v>
      </c>
      <c r="D33" s="36">
        <f t="shared" si="2"/>
        <v>1.9349148635557853E-2</v>
      </c>
      <c r="E33" s="30" t="s">
        <v>33</v>
      </c>
      <c r="F33" s="6">
        <v>1.3385026667254383</v>
      </c>
      <c r="G33" s="25">
        <f t="shared" si="3"/>
        <v>5378.1037149028107</v>
      </c>
      <c r="H33" s="37">
        <f t="shared" si="4"/>
        <v>2.1132978606575151E-2</v>
      </c>
      <c r="J33" s="53">
        <f>ROUND(H33*$B$12,3)</f>
        <v>0.70099999999999996</v>
      </c>
      <c r="K33" s="10"/>
      <c r="L33" s="5"/>
      <c r="M33" s="10"/>
    </row>
    <row r="34" spans="1:13" x14ac:dyDescent="0.25">
      <c r="A34" s="21" t="s">
        <v>20</v>
      </c>
      <c r="B34" s="60"/>
      <c r="C34" s="25">
        <v>5165</v>
      </c>
      <c r="D34" s="36">
        <f t="shared" si="2"/>
        <v>2.4872661200262894E-2</v>
      </c>
      <c r="E34" s="30" t="s">
        <v>63</v>
      </c>
      <c r="F34" s="6">
        <v>1.3443672085095768</v>
      </c>
      <c r="G34" s="25">
        <f t="shared" si="3"/>
        <v>6943.6566319519643</v>
      </c>
      <c r="H34" s="37">
        <f t="shared" si="4"/>
        <v>2.7284737303935821E-2</v>
      </c>
      <c r="J34" s="53">
        <f>ROUND(H34*$B$12,3)</f>
        <v>0.90500000000000003</v>
      </c>
      <c r="K34" s="10"/>
      <c r="L34" s="5"/>
      <c r="M34" s="10"/>
    </row>
    <row r="35" spans="1:13" x14ac:dyDescent="0.25">
      <c r="A35" s="21" t="s">
        <v>21</v>
      </c>
      <c r="B35" s="60"/>
      <c r="C35" s="25">
        <v>9361</v>
      </c>
      <c r="D35" s="36">
        <f t="shared" si="2"/>
        <v>4.5078989640979852E-2</v>
      </c>
      <c r="E35" s="30" t="s">
        <v>35</v>
      </c>
      <c r="F35" s="6">
        <v>1.2431059336238712</v>
      </c>
      <c r="G35" s="25">
        <f t="shared" si="3"/>
        <v>11636.714644653059</v>
      </c>
      <c r="H35" s="37">
        <f t="shared" si="4"/>
        <v>4.5725864481718524E-2</v>
      </c>
      <c r="J35" s="53">
        <f>ROUND(H35*$B$12,3)</f>
        <v>1.5169999999999999</v>
      </c>
      <c r="K35" s="10"/>
      <c r="L35" s="5"/>
      <c r="M35" s="10"/>
    </row>
    <row r="36" spans="1:13" s="9" customFormat="1" x14ac:dyDescent="0.25">
      <c r="A36" s="20" t="s">
        <v>22</v>
      </c>
      <c r="B36" s="23">
        <f>B37+B42</f>
        <v>6.7240000000000002</v>
      </c>
      <c r="C36" s="38">
        <f>C37+C42+C50</f>
        <v>117997.7153692508</v>
      </c>
      <c r="D36" s="39">
        <f>D37+D42+D50</f>
        <v>0.56823179027772108</v>
      </c>
      <c r="E36" s="73"/>
      <c r="F36" s="67"/>
      <c r="G36" s="38">
        <f>G37+G42+G50</f>
        <v>143869.11415776162</v>
      </c>
      <c r="H36" s="40">
        <f>H37+H42+H50</f>
        <v>0.56532619540563078</v>
      </c>
      <c r="J36" s="52">
        <f>J37+J42</f>
        <v>25.48</v>
      </c>
      <c r="K36" s="10"/>
      <c r="L36" s="10"/>
      <c r="M36" s="10"/>
    </row>
    <row r="37" spans="1:13" s="9" customFormat="1" x14ac:dyDescent="0.25">
      <c r="A37" s="20" t="s">
        <v>23</v>
      </c>
      <c r="B37" s="23">
        <f>SUM(B38:B41)</f>
        <v>4.1594664000000003</v>
      </c>
      <c r="C37" s="38">
        <f>SUM(C38:C41)</f>
        <v>29286</v>
      </c>
      <c r="D37" s="39">
        <f>SUM(D38:D41)</f>
        <v>0.14103015603308794</v>
      </c>
      <c r="E37" s="77"/>
      <c r="F37" s="67"/>
      <c r="G37" s="38">
        <f>SUM(G38:G41)</f>
        <v>37332.348212199679</v>
      </c>
      <c r="H37" s="40">
        <f>SUM(H38:H41)</f>
        <v>0.14669551907588813</v>
      </c>
      <c r="J37" s="52">
        <f>SUM(J38:J41)</f>
        <v>14.822999999999999</v>
      </c>
      <c r="K37" s="10"/>
      <c r="L37" s="10"/>
      <c r="M37" s="10"/>
    </row>
    <row r="38" spans="1:13" x14ac:dyDescent="0.25">
      <c r="A38" s="21" t="s">
        <v>56</v>
      </c>
      <c r="B38" s="24">
        <f>B53</f>
        <v>4.1594664000000003</v>
      </c>
      <c r="C38" s="64"/>
      <c r="D38" s="64"/>
      <c r="E38" s="71"/>
      <c r="F38" s="67"/>
      <c r="G38" s="64"/>
      <c r="H38" s="68"/>
      <c r="I38" s="27"/>
      <c r="J38" s="53">
        <f>ROUND(B38,3)+J51</f>
        <v>9.9559999999999995</v>
      </c>
      <c r="K38" s="10"/>
      <c r="L38" s="5"/>
      <c r="M38" s="10"/>
    </row>
    <row r="39" spans="1:13" x14ac:dyDescent="0.25">
      <c r="A39" s="21" t="s">
        <v>44</v>
      </c>
      <c r="B39" s="60"/>
      <c r="C39" s="25">
        <v>4756</v>
      </c>
      <c r="D39" s="36">
        <f t="shared" ref="D39:D41" si="5">C39/$C$16</f>
        <v>2.290307389515011E-2</v>
      </c>
      <c r="E39" s="30" t="s">
        <v>36</v>
      </c>
      <c r="F39" s="6">
        <v>1.2377450980392157</v>
      </c>
      <c r="G39" s="25">
        <f t="shared" ref="G39:G41" si="6">C39*F39</f>
        <v>5886.7156862745096</v>
      </c>
      <c r="H39" s="37">
        <f t="shared" ref="H39:H41" si="7">G39/$G$16</f>
        <v>2.3131542873802261E-2</v>
      </c>
      <c r="J39" s="53">
        <f>ROUND(H39*$B$12,3)</f>
        <v>0.76700000000000002</v>
      </c>
      <c r="K39" s="10"/>
      <c r="L39" s="5"/>
      <c r="M39" s="10"/>
    </row>
    <row r="40" spans="1:13" x14ac:dyDescent="0.25">
      <c r="A40" s="21" t="s">
        <v>55</v>
      </c>
      <c r="B40" s="60"/>
      <c r="C40" s="25">
        <v>9550</v>
      </c>
      <c r="D40" s="36">
        <f t="shared" si="5"/>
        <v>4.5989141231851043E-2</v>
      </c>
      <c r="E40" s="30" t="s">
        <v>37</v>
      </c>
      <c r="F40" s="6">
        <v>1.2206419373438402</v>
      </c>
      <c r="G40" s="25">
        <f t="shared" si="6"/>
        <v>11657.130501633674</v>
      </c>
      <c r="H40" s="37">
        <f t="shared" si="7"/>
        <v>4.5806087529037358E-2</v>
      </c>
      <c r="J40" s="53">
        <f>ROUND(H40*$B$12,3)</f>
        <v>1.52</v>
      </c>
      <c r="K40" s="10"/>
      <c r="L40" s="5"/>
      <c r="M40" s="10"/>
    </row>
    <row r="41" spans="1:13" x14ac:dyDescent="0.25">
      <c r="A41" s="21" t="s">
        <v>71</v>
      </c>
      <c r="B41" s="60"/>
      <c r="C41" s="25">
        <v>14980</v>
      </c>
      <c r="D41" s="36">
        <f t="shared" si="5"/>
        <v>7.2137940906086773E-2</v>
      </c>
      <c r="E41" s="30" t="s">
        <v>39</v>
      </c>
      <c r="F41" s="6">
        <v>1.3209947946790053</v>
      </c>
      <c r="G41" s="25">
        <f t="shared" si="6"/>
        <v>19788.502024291498</v>
      </c>
      <c r="H41" s="37">
        <f t="shared" si="7"/>
        <v>7.7757888673048503E-2</v>
      </c>
      <c r="J41" s="53">
        <f>ROUND(H41*$B$12,3)</f>
        <v>2.58</v>
      </c>
      <c r="K41" s="10"/>
      <c r="L41" s="5"/>
      <c r="M41" s="10"/>
    </row>
    <row r="42" spans="1:13" x14ac:dyDescent="0.25">
      <c r="A42" s="20" t="s">
        <v>24</v>
      </c>
      <c r="B42" s="23">
        <f>SUM(B43:B46)</f>
        <v>2.5645335999999999</v>
      </c>
      <c r="C42" s="38">
        <f>SUM(C43:C46)</f>
        <v>26074</v>
      </c>
      <c r="D42" s="39">
        <f>SUM(D43:D46)</f>
        <v>0.12556239460516064</v>
      </c>
      <c r="E42" s="71"/>
      <c r="F42" s="67"/>
      <c r="G42" s="38">
        <f>SUM(G43:G46)</f>
        <v>31364.21273747235</v>
      </c>
      <c r="H42" s="40">
        <f>SUM(H43:H46)</f>
        <v>0.12324404138142453</v>
      </c>
      <c r="J42" s="52">
        <f>SUM(J43:J46)</f>
        <v>10.657000000000002</v>
      </c>
      <c r="K42" s="10"/>
      <c r="L42" s="5"/>
      <c r="M42" s="10"/>
    </row>
    <row r="43" spans="1:13" x14ac:dyDescent="0.25">
      <c r="A43" s="21" t="s">
        <v>57</v>
      </c>
      <c r="B43" s="24">
        <f>B52-B38</f>
        <v>2.5645335999999999</v>
      </c>
      <c r="C43" s="25">
        <v>3071</v>
      </c>
      <c r="D43" s="36">
        <f t="shared" ref="D43:D46" si="8">C43/$C$16</f>
        <v>1.4788759447436078E-2</v>
      </c>
      <c r="E43" s="30" t="s">
        <v>38</v>
      </c>
      <c r="F43" s="6">
        <v>1.200116459627329</v>
      </c>
      <c r="G43" s="25">
        <f t="shared" ref="G43:G46" si="9">C43*F43</f>
        <v>3685.5576475155276</v>
      </c>
      <c r="H43" s="37">
        <f t="shared" ref="H43:H46" si="10">G43/$G$16</f>
        <v>1.4482206935210176E-2</v>
      </c>
      <c r="J43" s="53">
        <f>ROUND(B43,3)+ROUND(H43*$B$12,3)+(J50-J51)</f>
        <v>7.0480000000000009</v>
      </c>
      <c r="K43" s="10"/>
      <c r="L43" s="5"/>
      <c r="M43" s="10"/>
    </row>
    <row r="44" spans="1:13" x14ac:dyDescent="0.25">
      <c r="A44" s="21" t="s">
        <v>65</v>
      </c>
      <c r="B44" s="60"/>
      <c r="C44" s="25">
        <v>11514</v>
      </c>
      <c r="D44" s="36">
        <f t="shared" si="8"/>
        <v>5.5447012789898734E-2</v>
      </c>
      <c r="E44" s="30" t="s">
        <v>34</v>
      </c>
      <c r="F44" s="6">
        <v>1.2202242846094353</v>
      </c>
      <c r="G44" s="25">
        <f t="shared" si="9"/>
        <v>14049.662412993039</v>
      </c>
      <c r="H44" s="37">
        <f t="shared" si="10"/>
        <v>5.5207417138616953E-2</v>
      </c>
      <c r="J44" s="53">
        <f>ROUND(H44*$B$12,3)</f>
        <v>1.8320000000000001</v>
      </c>
      <c r="K44" s="10"/>
      <c r="L44" s="5"/>
      <c r="M44" s="10"/>
    </row>
    <row r="45" spans="1:13" x14ac:dyDescent="0.25">
      <c r="A45" s="21" t="s">
        <v>25</v>
      </c>
      <c r="B45" s="60"/>
      <c r="C45" s="25">
        <v>2290</v>
      </c>
      <c r="D45" s="36">
        <f t="shared" si="8"/>
        <v>1.1027762661878418E-2</v>
      </c>
      <c r="E45" s="30" t="s">
        <v>26</v>
      </c>
      <c r="F45" s="6">
        <v>1.0390527503228886</v>
      </c>
      <c r="G45" s="25">
        <f t="shared" si="9"/>
        <v>2379.4307982394148</v>
      </c>
      <c r="H45" s="37">
        <f t="shared" si="10"/>
        <v>9.3498494675140903E-3</v>
      </c>
      <c r="J45" s="53">
        <f>ROUND(H45*$B$12,3)</f>
        <v>0.31</v>
      </c>
      <c r="K45" s="10"/>
      <c r="L45" s="5"/>
      <c r="M45" s="10"/>
    </row>
    <row r="46" spans="1:13" x14ac:dyDescent="0.25">
      <c r="A46" s="58" t="s">
        <v>58</v>
      </c>
      <c r="B46" s="61"/>
      <c r="C46" s="41">
        <v>9199</v>
      </c>
      <c r="D46" s="42">
        <f t="shared" si="8"/>
        <v>4.4298859705947408E-2</v>
      </c>
      <c r="E46" s="43" t="s">
        <v>27</v>
      </c>
      <c r="F46" s="44">
        <v>1.2229113902298472</v>
      </c>
      <c r="G46" s="41">
        <f t="shared" si="9"/>
        <v>11249.561878724364</v>
      </c>
      <c r="H46" s="45">
        <f t="shared" si="10"/>
        <v>4.4204567840083309E-2</v>
      </c>
      <c r="J46" s="70">
        <f>ROUND(H46*$B$12,3)</f>
        <v>1.4670000000000001</v>
      </c>
      <c r="K46" s="10"/>
      <c r="L46" s="5"/>
      <c r="M46" s="10"/>
    </row>
    <row r="47" spans="1:13" x14ac:dyDescent="0.25">
      <c r="B47" s="50"/>
      <c r="J47" s="79"/>
    </row>
    <row r="48" spans="1:13" x14ac:dyDescent="0.25">
      <c r="B48" s="11"/>
      <c r="E48" s="9"/>
      <c r="G48" s="47"/>
      <c r="H48" s="46" t="s">
        <v>30</v>
      </c>
      <c r="I48" s="48"/>
      <c r="J48" s="49">
        <f>SUM(J37,J17)</f>
        <v>65.963999999999999</v>
      </c>
    </row>
    <row r="49" spans="1:11" s="9" customFormat="1" x14ac:dyDescent="0.25">
      <c r="A49" s="26" t="s">
        <v>41</v>
      </c>
      <c r="B49" s="28"/>
      <c r="E49" s="1"/>
    </row>
    <row r="50" spans="1:11" x14ac:dyDescent="0.25">
      <c r="A50" s="2" t="s">
        <v>59</v>
      </c>
      <c r="B50" s="65"/>
      <c r="C50" s="25">
        <v>62637.715369250807</v>
      </c>
      <c r="D50" s="29">
        <f t="shared" ref="D50" si="11">C50/$C$16</f>
        <v>0.30163923963947248</v>
      </c>
      <c r="E50" s="30" t="s">
        <v>38</v>
      </c>
      <c r="F50" s="6">
        <f>F43</f>
        <v>1.200116459627329</v>
      </c>
      <c r="G50" s="25">
        <f t="shared" ref="G50" si="12">C50*F50</f>
        <v>75172.553208089608</v>
      </c>
      <c r="H50" s="29">
        <f t="shared" ref="H50" si="13">G50/$G$16</f>
        <v>0.29538663494831813</v>
      </c>
      <c r="J50" s="5">
        <f>ROUND(H50*$B$12,3)</f>
        <v>9.8000000000000007</v>
      </c>
      <c r="K50" s="2"/>
    </row>
    <row r="51" spans="1:11" x14ac:dyDescent="0.25">
      <c r="A51" s="2" t="s">
        <v>66</v>
      </c>
      <c r="B51" s="65"/>
      <c r="C51" s="64"/>
      <c r="D51" s="66"/>
      <c r="E51" s="30"/>
      <c r="F51" s="6"/>
      <c r="G51" s="25"/>
      <c r="H51" s="29"/>
      <c r="J51" s="5">
        <f>ROUND(J50*0.5915,3)</f>
        <v>5.7969999999999997</v>
      </c>
      <c r="K51" s="2"/>
    </row>
    <row r="52" spans="1:11" x14ac:dyDescent="0.25">
      <c r="A52" s="2" t="s">
        <v>60</v>
      </c>
      <c r="B52" s="10">
        <f>ROUND(B10,3)</f>
        <v>6.7240000000000002</v>
      </c>
      <c r="C52" s="65"/>
      <c r="D52" s="65"/>
    </row>
    <row r="53" spans="1:11" x14ac:dyDescent="0.25">
      <c r="A53" s="2" t="s">
        <v>70</v>
      </c>
      <c r="B53" s="5">
        <f>B52*0.6186</f>
        <v>4.1594664000000003</v>
      </c>
      <c r="C53" s="65"/>
      <c r="D53" s="65"/>
      <c r="K53" s="2"/>
    </row>
    <row r="54" spans="1:11" x14ac:dyDescent="0.25">
      <c r="A54" s="12"/>
      <c r="B54" s="13"/>
    </row>
    <row r="55" spans="1:11" x14ac:dyDescent="0.25">
      <c r="B55" s="3"/>
      <c r="J55" s="5"/>
      <c r="K55" s="2"/>
    </row>
    <row r="56" spans="1:11" x14ac:dyDescent="0.25">
      <c r="B56" s="10"/>
    </row>
    <row r="57" spans="1:11" x14ac:dyDescent="0.25">
      <c r="B57" s="5"/>
    </row>
    <row r="58" spans="1:11" x14ac:dyDescent="0.25">
      <c r="B58" s="5"/>
    </row>
    <row r="59" spans="1:11" x14ac:dyDescent="0.25">
      <c r="B59" s="5"/>
    </row>
    <row r="60" spans="1:11" x14ac:dyDescent="0.25">
      <c r="B60" s="10"/>
    </row>
    <row r="61" spans="1:11" x14ac:dyDescent="0.25">
      <c r="B61" s="5"/>
    </row>
    <row r="62" spans="1:11" x14ac:dyDescent="0.25">
      <c r="B62" s="5"/>
    </row>
    <row r="63" spans="1:11" x14ac:dyDescent="0.25">
      <c r="B63" s="5"/>
    </row>
    <row r="64" spans="1:11" x14ac:dyDescent="0.25">
      <c r="B64" s="5"/>
    </row>
    <row r="65" spans="2:2" x14ac:dyDescent="0.25">
      <c r="B65" s="10"/>
    </row>
    <row r="67" spans="2:2" x14ac:dyDescent="0.25">
      <c r="B67" s="5"/>
    </row>
  </sheetData>
  <pageMargins left="0.25" right="0.25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IPPS_23</vt:lpstr>
      <vt:lpstr>IPPS_23!Print_Area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2025-08-06T13:13:10Z</dcterms:created>
  <dcterms:modified xsi:type="dcterms:W3CDTF">2025-08-06T13:18:49Z</dcterms:modified>
</cp:coreProperties>
</file>