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Box\Box\RY9G\Initiative-specific Data Sheets\"/>
    </mc:Choice>
  </mc:AlternateContent>
  <xr:revisionPtr revIDLastSave="0" documentId="8_{D7B161B8-1EF1-44B0-A365-80B6CF5434D3}" xr6:coauthVersionLast="47" xr6:coauthVersionMax="47" xr10:uidLastSave="{00000000-0000-0000-0000-000000000000}"/>
  <bookViews>
    <workbookView xWindow="-110" yWindow="-110" windowWidth="19420" windowHeight="10420" xr2:uid="{853265A0-EBD7-408C-9D50-258FFAF50320}"/>
  </bookViews>
  <sheets>
    <sheet name="Information About This File" sheetId="4" r:id="rId1"/>
    <sheet name="Exhibit 1 - PPCP Variables" sheetId="2" r:id="rId2"/>
    <sheet name="Exhibit 2 - PPCP Build" sheetId="1" r:id="rId3"/>
    <sheet name="Exhibit 3 - Enhancement Offset" sheetId="3" r:id="rId4"/>
  </sheets>
  <definedNames>
    <definedName name="_xlnm.Print_Area" localSheetId="1">'Exhibit 1 - PPCP Variables'!$B$1:$F$14</definedName>
    <definedName name="_xlnm.Print_Area" localSheetId="3">'Exhibit 3 - Enhancement Offset'!$B$1:$F$15</definedName>
    <definedName name="_xlnm.Print_Area" localSheetId="0">'Information About This File'!$B$1:$B$20</definedName>
    <definedName name="_xlnm.Print_Titles" localSheetId="2">'Exhibit 2 - PPCP Build'!$1:$1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19" i="3"/>
  <c r="D17" i="3"/>
  <c r="B4" i="1"/>
  <c r="B35" i="1"/>
  <c r="B28" i="1"/>
  <c r="D48" i="1"/>
  <c r="H41" i="1"/>
  <c r="C48" i="1" s="1"/>
  <c r="C34" i="1"/>
  <c r="C20" i="1"/>
  <c r="F29" i="1"/>
  <c r="F28" i="1"/>
  <c r="F22" i="1"/>
  <c r="F21" i="1"/>
  <c r="F20" i="1"/>
  <c r="F27" i="1" s="1"/>
  <c r="G7" i="1"/>
  <c r="H7" i="1" s="1"/>
  <c r="D11" i="3"/>
  <c r="E22" i="1"/>
  <c r="E29" i="1" s="1"/>
  <c r="E21" i="1"/>
  <c r="E28" i="1" s="1"/>
  <c r="E20" i="1"/>
  <c r="E27" i="1" s="1"/>
  <c r="G14" i="1"/>
  <c r="D14" i="1"/>
  <c r="C5" i="1"/>
  <c r="C14" i="1" s="1"/>
  <c r="C4" i="1"/>
  <c r="D4" i="1" s="1"/>
  <c r="E4" i="1" s="1"/>
  <c r="F4" i="1" s="1"/>
  <c r="G4" i="1" s="1"/>
  <c r="H4" i="1" l="1"/>
  <c r="D5" i="1"/>
  <c r="E5" i="1" s="1"/>
  <c r="F5" i="1" l="1"/>
  <c r="G5" i="1" s="1"/>
  <c r="H5" i="1" s="1"/>
  <c r="B31" i="1"/>
  <c r="B38" i="1" s="1"/>
  <c r="B45" i="1"/>
  <c r="G21" i="1"/>
  <c r="G28" i="1" s="1"/>
  <c r="D21" i="1"/>
  <c r="D28" i="1" s="1"/>
  <c r="C21" i="1"/>
  <c r="D2" i="1"/>
  <c r="E2" i="1" s="1"/>
  <c r="F2" i="1" s="1"/>
  <c r="H3" i="1"/>
  <c r="B5" i="1"/>
  <c r="H13" i="1"/>
  <c r="C16" i="1"/>
  <c r="C23" i="1" s="1"/>
  <c r="C30" i="1" s="1"/>
  <c r="C27" i="1"/>
  <c r="D20" i="1"/>
  <c r="D27" i="1" s="1"/>
  <c r="G20" i="1"/>
  <c r="G27" i="1" s="1"/>
  <c r="C22" i="1"/>
  <c r="C29" i="1" s="1"/>
  <c r="D22" i="1"/>
  <c r="D29" i="1" s="1"/>
  <c r="G22" i="1"/>
  <c r="G29" i="1" s="1"/>
  <c r="B27" i="1"/>
  <c r="B34" i="1" s="1"/>
  <c r="B29" i="1"/>
  <c r="B30" i="1"/>
  <c r="G2" i="1" l="1"/>
  <c r="F34" i="1"/>
  <c r="F35" i="1"/>
  <c r="F45" i="1" s="1"/>
  <c r="F36" i="1"/>
  <c r="H2" i="1"/>
  <c r="E36" i="1"/>
  <c r="E34" i="1"/>
  <c r="E35" i="1"/>
  <c r="E45" i="1" s="1"/>
  <c r="H46" i="1"/>
  <c r="D35" i="1"/>
  <c r="D45" i="1" s="1"/>
  <c r="G35" i="1"/>
  <c r="G45" i="1" s="1"/>
  <c r="C36" i="1"/>
  <c r="C37" i="1"/>
  <c r="G36" i="1"/>
  <c r="G47" i="1" s="1"/>
  <c r="D34" i="1"/>
  <c r="D44" i="1" s="1"/>
  <c r="G34" i="1"/>
  <c r="D36" i="1"/>
  <c r="D47" i="1" s="1"/>
  <c r="D16" i="1"/>
  <c r="B36" i="1"/>
  <c r="B47" i="1" s="1"/>
  <c r="B37" i="1"/>
  <c r="B48" i="1" s="1"/>
  <c r="H21" i="1"/>
  <c r="C28" i="1"/>
  <c r="C24" i="1"/>
  <c r="H49" i="1"/>
  <c r="B44" i="1"/>
  <c r="C17" i="1"/>
  <c r="H14" i="1"/>
  <c r="H8" i="1"/>
  <c r="H29" i="1"/>
  <c r="H20" i="1"/>
  <c r="H27" i="1"/>
  <c r="H22" i="1"/>
  <c r="H15" i="1"/>
  <c r="F47" i="1" l="1"/>
  <c r="F44" i="1"/>
  <c r="D23" i="1"/>
  <c r="D30" i="1" s="1"/>
  <c r="D31" i="1" s="1"/>
  <c r="E16" i="1"/>
  <c r="F16" i="1" s="1"/>
  <c r="E44" i="1"/>
  <c r="E47" i="1"/>
  <c r="D17" i="1"/>
  <c r="D37" i="1"/>
  <c r="H36" i="1"/>
  <c r="G44" i="1"/>
  <c r="H28" i="1"/>
  <c r="C35" i="1"/>
  <c r="C31" i="1"/>
  <c r="C44" i="1"/>
  <c r="H34" i="1"/>
  <c r="F23" i="1" l="1"/>
  <c r="F17" i="1"/>
  <c r="D24" i="1"/>
  <c r="E23" i="1"/>
  <c r="E17" i="1"/>
  <c r="G16" i="1"/>
  <c r="G23" i="1" s="1"/>
  <c r="G30" i="1" s="1"/>
  <c r="G31" i="1" s="1"/>
  <c r="D38" i="1"/>
  <c r="H23" i="1"/>
  <c r="H24" i="1" s="1"/>
  <c r="H16" i="1"/>
  <c r="H17" i="1" s="1"/>
  <c r="G17" i="1"/>
  <c r="H35" i="1"/>
  <c r="C45" i="1"/>
  <c r="H45" i="1" s="1"/>
  <c r="C38" i="1"/>
  <c r="H44" i="1"/>
  <c r="C40" i="1"/>
  <c r="C47" i="1"/>
  <c r="D40" i="1"/>
  <c r="G24" i="1" l="1"/>
  <c r="F30" i="1"/>
  <c r="F24" i="1"/>
  <c r="G37" i="1"/>
  <c r="G38" i="1" s="1"/>
  <c r="E30" i="1"/>
  <c r="E24" i="1"/>
  <c r="H47" i="1"/>
  <c r="F37" i="1" l="1"/>
  <c r="F31" i="1"/>
  <c r="G40" i="1"/>
  <c r="E37" i="1"/>
  <c r="E31" i="1"/>
  <c r="H30" i="1"/>
  <c r="H31" i="1" s="1"/>
  <c r="F40" i="1" l="1"/>
  <c r="F38" i="1"/>
  <c r="E38" i="1"/>
  <c r="E40" i="1"/>
  <c r="H40" i="1" s="1"/>
  <c r="F48" i="1" s="1"/>
  <c r="H37" i="1"/>
  <c r="H38" i="1" s="1"/>
  <c r="F50" i="1" l="1"/>
  <c r="F53" i="1"/>
  <c r="G48" i="1"/>
  <c r="E48" i="1"/>
  <c r="G53" i="1" l="1"/>
  <c r="G50" i="1"/>
  <c r="E53" i="1"/>
  <c r="E50" i="1"/>
  <c r="C53" i="1"/>
  <c r="H48" i="1"/>
  <c r="H53" i="1" s="1"/>
  <c r="D6" i="3" s="1"/>
  <c r="D13" i="3" s="1"/>
  <c r="D15" i="3" s="1"/>
  <c r="C50" i="1"/>
  <c r="D53" i="1"/>
  <c r="D50" i="1"/>
  <c r="H50" i="1" l="1"/>
</calcChain>
</file>

<file path=xl/sharedStrings.xml><?xml version="1.0" encoding="utf-8"?>
<sst xmlns="http://schemas.openxmlformats.org/spreadsheetml/2006/main" count="289" uniqueCount="215">
  <si>
    <t>ACO PC Flex RFA Exhibits and Example Calculations</t>
  </si>
  <si>
    <t>This file entitled “ACO PC Flex RFA Exhibits and Example Calculations” is referenced in the ACO Primary Care Flex (ACO PC Flex) Model request for applications (RFA). This file includes mathematical examples of how the Prospective Primary Care Payment (PPCP) is calculated at the beneficiary level as well as an example of the enhancement offset calculation that results in the enhancement credit during the performance year settlement process. This file is intended to provide an illustrative example of CMS’ intended financial methodology for the ACO PC Flex Model, as of May 30, 2024. This represents CMS' current conception of the financial methodology for the ACO PC Flex Model.  The finalized financial methodology will be reflected in the ACO PC Flex Participation Agreement that CMS issues in December 2024. All dollar amounts and calculations set forth in this document are strictly illustrative. Payments provided under the ACO PC Flex Model are dependent on the final financial methodology, the applicable ACO, its ACO participants, and its assigned beneficiaries.</t>
  </si>
  <si>
    <t>Exhibit 1 - PPCP Variables</t>
  </si>
  <si>
    <t>This tab contains a table of the various variables that are used to calculate the PPCP for a particular beneficiary-month.  Each variable has a type to indicate if it is specific to the model as a whole, the individual ACO, or the individual beneficiary. For each of the variables, we have indicated the current status of the variable for performance year 2025 (final or estimated) and when variables are expected to be finalized in advance of the start of performance year 2025. Lastly, we have provided RFA section references for where in the RFA the variable is described or defined.</t>
  </si>
  <si>
    <t>Exhibit 2 - PPCP Build</t>
  </si>
  <si>
    <t>This worksheet contains illustrative examples of the PPCP calculation for four individual beneficiaries, a large set of other beneficiaries, and the blended total for a hypothetical ACO.</t>
  </si>
  <si>
    <t>Columns C through F are illustrative of individual beneficiaries. Column F illustrates a general population of thousands to produce an illustration of an ACO of about 10,000 beneficiaries (Column H).</t>
  </si>
  <si>
    <t>From top to bottom, this illustration establishes the variables for the example, then calculates the PPCP, step-by-step.  Column J provides a narrative description of the line items and steps, and column A provides simple formulae references.</t>
  </si>
  <si>
    <t>Column K provides RFA section(s) where the relevant step or line item is discussed.</t>
  </si>
  <si>
    <t>Additionally, this worksheet calculates the total enhancement subject to offset in row 53, which is used in the subsequent worksheet.</t>
  </si>
  <si>
    <t>Exhibit 3 - Enhancement Offset</t>
  </si>
  <si>
    <t>This worksheet contains an illustrative example of the Total Enhancement Credit calculation for the hypothetical ACO illustrated in Exhibit 2.</t>
  </si>
  <si>
    <t>From top to bottom, this illustration calculates the Total Enhancement Credit, step-by-step. Column E provides a narrative description of the line items and steps, and column B provides simple formulae references.</t>
  </si>
  <si>
    <t>Column F provides RFA section(s) where the relevant step or line item is discussed.</t>
  </si>
  <si>
    <t>In this example, values for positive regional adjustment to benchmark PBPM (row 8) and prior savings adjustment to benchmark PBPM (row 9) are engineered to illustrate the impact of these variables to the calculation. Each PC Flex ACO will have its own values for these variables included in the benchmark reports.</t>
  </si>
  <si>
    <t>See RFA section IV.E for a narrative description of how this calculation is incorporated into performance year settlement calculations.</t>
  </si>
  <si>
    <t>Change Log</t>
  </si>
  <si>
    <t>8/9/2024 - addition of Health Equity Adjustment treatment in Exhibit 3.  Correction of RFA citation for Health Equity Adjustment throughout.</t>
  </si>
  <si>
    <t>Element</t>
  </si>
  <si>
    <t>Variable Type</t>
  </si>
  <si>
    <t>Note</t>
  </si>
  <si>
    <t>PY 2025 Values Status</t>
  </si>
  <si>
    <t>RFA Section(s)</t>
  </si>
  <si>
    <t>County Base Rate @ 1.0</t>
  </si>
  <si>
    <t>County</t>
  </si>
  <si>
    <t>Unique Rates for ESRD and Non-ESRD</t>
  </si>
  <si>
    <t>Finalize Summer 2024 with Rate Book.</t>
  </si>
  <si>
    <t>IV.C.ii.a</t>
  </si>
  <si>
    <t>County Enhancement @ 1.0</t>
  </si>
  <si>
    <t>IV.C.ii.b</t>
  </si>
  <si>
    <t>Flex Enhancement @ 1.0</t>
  </si>
  <si>
    <t>Model</t>
  </si>
  <si>
    <t>$125 PBPY</t>
  </si>
  <si>
    <t>Current value ($125 PBPY) is final.</t>
  </si>
  <si>
    <t>Beneficiary with FQHC-Focused Care</t>
  </si>
  <si>
    <t>Beneficiary</t>
  </si>
  <si>
    <t>Indicates the beneficiary received the plurality of primary care services at an FQHC</t>
  </si>
  <si>
    <t>Logic to determine flag is final.</t>
  </si>
  <si>
    <t>IV.C.iii.c, Appendix A</t>
  </si>
  <si>
    <t>Beneficiary with RHC-Focused Care</t>
  </si>
  <si>
    <t>Indicates the beneficiary received the plurality of primary care services at an RHC</t>
  </si>
  <si>
    <t>Risk Adjustment Factor</t>
  </si>
  <si>
    <t>CMS-HCC Model</t>
  </si>
  <si>
    <t>CMS-HCC Model version / blend is final.</t>
  </si>
  <si>
    <t>IV.C.iii.b</t>
  </si>
  <si>
    <t>Primary Care Outside of ACO (PCOA) Adjustment Factor</t>
  </si>
  <si>
    <t>ACO</t>
  </si>
  <si>
    <t>Calculated for each ACO based on a historical period</t>
  </si>
  <si>
    <t>ACO specific adjustment factors will be calculated Fall of 2024</t>
  </si>
  <si>
    <t>IV.C.iii.d</t>
  </si>
  <si>
    <t>Primary Care Prospective Administrative Trend (PCPAT)</t>
  </si>
  <si>
    <t>2025 PCPAT will be calculated late 2024.</t>
  </si>
  <si>
    <t>IV.C.iv</t>
  </si>
  <si>
    <t>Add-on for Beneficiaries with FQHC Focused Care</t>
  </si>
  <si>
    <t>est $249 PBPY</t>
  </si>
  <si>
    <t>IV.C.iii.c</t>
  </si>
  <si>
    <t>Add-on for Beneficiaries with RHC Focused Care</t>
  </si>
  <si>
    <t>est $256 PBPY</t>
  </si>
  <si>
    <t>Health Equity Adjustment</t>
  </si>
  <si>
    <t>+/- $3 PBPM</t>
  </si>
  <si>
    <t>Logic to calculate is final.</t>
  </si>
  <si>
    <t>IV.C.iii.f</t>
  </si>
  <si>
    <t>Cap on Enhancement</t>
  </si>
  <si>
    <t>$200 PBPY</t>
  </si>
  <si>
    <t>Current value ($200 PBPY) is final.</t>
  </si>
  <si>
    <t>Allocated Amount in Excess of Cap</t>
  </si>
  <si>
    <t>Calculated YTD for each ACO</t>
  </si>
  <si>
    <t>Calculated at ACO level throughout performance year.</t>
  </si>
  <si>
    <t>Bene 1</t>
  </si>
  <si>
    <t>Bene 2</t>
  </si>
  <si>
    <t>Bene 3</t>
  </si>
  <si>
    <t>Bene 4</t>
  </si>
  <si>
    <t>All Other Benes</t>
  </si>
  <si>
    <t>ACO Weighted Average</t>
  </si>
  <si>
    <t>Description</t>
  </si>
  <si>
    <t>A</t>
  </si>
  <si>
    <t>PCPAT</t>
  </si>
  <si>
    <t>The Primary Care Prospective Administrative Trend.</t>
  </si>
  <si>
    <t>B</t>
  </si>
  <si>
    <t>The maximum value of the enhancements (County &amp; Flex, after adjustments).</t>
  </si>
  <si>
    <t>C</t>
  </si>
  <si>
    <t>The fixed PBPM add-on for beneficiaries who received the plurality of primary care services at an FQHC.</t>
  </si>
  <si>
    <t>IV.C.iii.c &amp; Appendix A</t>
  </si>
  <si>
    <t>D</t>
  </si>
  <si>
    <t>The fixed PBPM add-on for beneficiaries who received the plurality of primary care services at an RHC.</t>
  </si>
  <si>
    <t>E</t>
  </si>
  <si>
    <t>PCOA Adjustment</t>
  </si>
  <si>
    <t>The ACO's individual adjustment for Primary Care Outside of ACO.</t>
  </si>
  <si>
    <t>F</t>
  </si>
  <si>
    <t>PPCP Eligible Bene Months</t>
  </si>
  <si>
    <t>The number of months the beneficiary was assigned to the PC Flex ACO and was PPCP Eligible.</t>
  </si>
  <si>
    <t>IV.A &amp; IV.C.ii &amp; Appendix A &amp; Appendix E</t>
  </si>
  <si>
    <t>G</t>
  </si>
  <si>
    <t>The beneficiary's normalized CMS-HCC risk score.</t>
  </si>
  <si>
    <t>H</t>
  </si>
  <si>
    <t>Enrollment Type (Rate Book)</t>
  </si>
  <si>
    <t>Aged/Dual (Non-ESRD)</t>
  </si>
  <si>
    <t>Aged/Non-Dual (Non-ESRD)</t>
  </si>
  <si>
    <t>ESRD (ESRD)</t>
  </si>
  <si>
    <t>The beneficiary's Enrollment Type and relevant Rate Book.</t>
  </si>
  <si>
    <t>I</t>
  </si>
  <si>
    <t>Y</t>
  </si>
  <si>
    <t>N</t>
  </si>
  <si>
    <t>Flag to indicate that beneficiary received the plurality of primary care services at an FQHC.</t>
  </si>
  <si>
    <t>J</t>
  </si>
  <si>
    <t>Flag to indicate that beneficiary received the plurality of primary care services at an RHC.</t>
  </si>
  <si>
    <t>K</t>
  </si>
  <si>
    <t>The County Base Rate in relevant Rate Book (ESRD or Non-ESRD) for the county of residence of the beneficiary month.</t>
  </si>
  <si>
    <t>L = C or D if applicable</t>
  </si>
  <si>
    <t>Add-on for Beneficiaries with FQHC/RHC Focused Care @ 1.0</t>
  </si>
  <si>
    <t>The add-on for beneficiaries with FQHC or RHC focused care if beneficiary flagged  in row I or J.</t>
  </si>
  <si>
    <t>M</t>
  </si>
  <si>
    <t>The County Enhancement, if any, in relevant Rate Book (ESRD or Non-ESRD) for the county of residence of the beneficiary month.</t>
  </si>
  <si>
    <t>The Flex Enhancement PBPY amount, $125, divided by 12 months.</t>
  </si>
  <si>
    <t>O = K + L + M +N</t>
  </si>
  <si>
    <t xml:space="preserve">  Total @ 1.0</t>
  </si>
  <si>
    <t>The sum total of the PPCP at risk score of 1.0, before adjustments.</t>
  </si>
  <si>
    <t xml:space="preserve">  </t>
  </si>
  <si>
    <t>after Risk Adjustment</t>
  </si>
  <si>
    <t>P = K x G</t>
  </si>
  <si>
    <t xml:space="preserve">  County Base Rate</t>
  </si>
  <si>
    <t>The CMS-HCC risk adjusted County Base Rate.</t>
  </si>
  <si>
    <t>Q = L x G</t>
  </si>
  <si>
    <t xml:space="preserve">  Add-on for Beneficiaries with FQHC/RHC Focused Care</t>
  </si>
  <si>
    <t>The CMS-HCC risk adjusted add-on for beneficiaries who received the plurality of primary care services at an FQHC or RHC.</t>
  </si>
  <si>
    <t>R = M x G</t>
  </si>
  <si>
    <t xml:space="preserve">  County Enhancement</t>
  </si>
  <si>
    <t>The CMS-HCC risk adjusted County Enhancement.</t>
  </si>
  <si>
    <t>S = N x G</t>
  </si>
  <si>
    <t xml:space="preserve">  Flex Enhancement</t>
  </si>
  <si>
    <t>The CMS-HCC risk adjusted Flex Enhancement.</t>
  </si>
  <si>
    <t>T = P + Q + R + S</t>
  </si>
  <si>
    <t xml:space="preserve">    Total</t>
  </si>
  <si>
    <t>The sum  total of the PPCP after risk adjustment, before PCOA adjustment and trend.</t>
  </si>
  <si>
    <t>after PCOA Adjustment</t>
  </si>
  <si>
    <t>PCOA = Primary Care Outside of ACO.</t>
  </si>
  <si>
    <t>U = P x E</t>
  </si>
  <si>
    <t>The County Base Rate, adjusted for clinical risk (CMS-HCC) and PCOA.</t>
  </si>
  <si>
    <t>V = Q x E</t>
  </si>
  <si>
    <t>The add-on for beneficiaries who received the plurality of care at an FQHC or RHC, adjusted for clinical risk (CMS-HCC) and PCOA.</t>
  </si>
  <si>
    <t>W = R x E</t>
  </si>
  <si>
    <t>The County Enhancement, adjusted for clinical risk (CMS-HCC) and PCOA.</t>
  </si>
  <si>
    <t>Y = S</t>
  </si>
  <si>
    <t>The PCOA adjustment is not applied to the Flex Enhancement.</t>
  </si>
  <si>
    <t>Z = U + V + W + Y</t>
  </si>
  <si>
    <t>The sum total of the PPCP after clinical risk adjustment and PCOA, before trend.</t>
  </si>
  <si>
    <t>after PCPAT</t>
  </si>
  <si>
    <t>PCPAT = Primary Care Prospective Administrative Trend</t>
  </si>
  <si>
    <t>AA = U x A</t>
  </si>
  <si>
    <t>The County Base Rate, adjusted for clinical risk (CMS-HCC) and PCOA, trended to performance year.</t>
  </si>
  <si>
    <t>AB = V x A</t>
  </si>
  <si>
    <t>The add-on for beneficiaries who received the plurality of care at an FQHC or RHC, adjusted for clinical risk (CMS-HCC) and PCOA, trended to performance year.</t>
  </si>
  <si>
    <t>AC = W x A</t>
  </si>
  <si>
    <t>The County Enhancement, adjusted for clinical risk (CMS-HCC) and PCOA, trended to performance year.</t>
  </si>
  <si>
    <t>AD = Y x A</t>
  </si>
  <si>
    <t>The Flex Enhancement, adjusted for clinical risk (CMS-HCC), trended to performance year.</t>
  </si>
  <si>
    <t>AE = AA + AB + AC + AD</t>
  </si>
  <si>
    <t>The sum total of the PPCP after clinical risk adjustment and PCOA, after trend.</t>
  </si>
  <si>
    <t>AF = AC + AD</t>
  </si>
  <si>
    <t>Total Enhancement</t>
  </si>
  <si>
    <t>The combined value of the County Enhancement and the Flex Enhancement, after adjustments and trend.</t>
  </si>
  <si>
    <t>AG = max(AF - B, 0)</t>
  </si>
  <si>
    <t>Amount in Excess of Enhancement Cap</t>
  </si>
  <si>
    <t>The positive difference between the ACO's weight average Total Enhancement and the maximum value of Total Enhancement.</t>
  </si>
  <si>
    <t>after Allocation of Enhancement Cap</t>
  </si>
  <si>
    <t>AH = AA</t>
  </si>
  <si>
    <t>AI = AB</t>
  </si>
  <si>
    <t>AJ</t>
  </si>
  <si>
    <t xml:space="preserve">  Allocated Add'l Payment for Beneficiaries with FQHC/RHC Focused Care</t>
  </si>
  <si>
    <t>The allocated value of additional payment made under the guardrail for beneficiaries who receive the plurality of primary care services at FQHCs or RHCs.</t>
  </si>
  <si>
    <t>AK = AC</t>
  </si>
  <si>
    <t>AL = AD - AG</t>
  </si>
  <si>
    <t>The Flex Enhancement, adjusted for clinical risk (CMS-HCC), trended to performance year, less the Amount in Excess of Enhancement Cap.</t>
  </si>
  <si>
    <t>AM</t>
  </si>
  <si>
    <t xml:space="preserve">  Health Equity Adjustment</t>
  </si>
  <si>
    <t>The Health Equity Adjustment to the PPCP</t>
  </si>
  <si>
    <t>AN = AH + AI + AJ + AK + AL + AM</t>
  </si>
  <si>
    <t>Total PPCP Payment bf Sequestration and Payment Precision Withhold</t>
  </si>
  <si>
    <t>The total PPCP payment before Sequestration and Payment Precision Withhold</t>
  </si>
  <si>
    <t>IV.C.iii.a</t>
  </si>
  <si>
    <t>AO = AK + AL</t>
  </si>
  <si>
    <t>Total Enhancement subject to offset by the greater of positive regional adjustment and prior savings adjustment at settlement</t>
  </si>
  <si>
    <t>Total Enhancement subject to offset by the greater of prior savings adjustment and positive regional adjustment at settlement. See "Enhancement Offset" tab for example calculation of the offset and resulting credit to settlement.</t>
  </si>
  <si>
    <t>Appendix A &amp; Appendix E</t>
  </si>
  <si>
    <t>Example</t>
  </si>
  <si>
    <t>Total Assigned Beneficiary Months</t>
  </si>
  <si>
    <t>The total number of assigned beneficiary-months for the ACO for the performance year.</t>
  </si>
  <si>
    <t>IV.A</t>
  </si>
  <si>
    <t>Total PPCP Eligible Beneficiary Months</t>
  </si>
  <si>
    <t>The total number of PPCP eligible assigned beneficiary-months for the ACO for the performance year.  Includes beneficiaries assigned via "Step 1" or "Step 3" only.</t>
  </si>
  <si>
    <t>Total Enhancement subject to offset by the greater of prior savings adjustment and positive regional adjustment at settlement PBPM</t>
  </si>
  <si>
    <t>The result of the overall ACO calculation described in the PPCP Build tab of this workbook.</t>
  </si>
  <si>
    <t>IV.E</t>
  </si>
  <si>
    <t>Positive Regional Adjustment to Benchmark PBPM</t>
  </si>
  <si>
    <t>The Regional Adjustment Expressed as a Single Value ($) from Table 1A - Regional Adjustment in Shared Savings Program Benchmark Report divided by 12</t>
  </si>
  <si>
    <t>Prior Savings Adjustment to Benchmark PBPM</t>
  </si>
  <si>
    <t>The Prior Savings Adjustment ($) from Table 1B - Prior Savings Adj in Shared Savings Program Benchmark Report divided by 12</t>
  </si>
  <si>
    <t>F = Max (D, E)</t>
  </si>
  <si>
    <t>Maximum of Positive Regional Adjustment and Prior Savings Adjustment PBPM</t>
  </si>
  <si>
    <t>The greater of the positive regional adjustment and the prior savings adjustment, i.e. offset amount.</t>
  </si>
  <si>
    <t>G = C - F</t>
  </si>
  <si>
    <t>Total Enhancement Credit to Settlement after offset for Positive Regional Adjustment and Prior Savings Adjustment PBPM</t>
  </si>
  <si>
    <t>The difference between the Total Enhancement and the offset amount.</t>
  </si>
  <si>
    <t>H = G x B</t>
  </si>
  <si>
    <t>Total Enhancement Credit to Settlement after offset for Positive Regional Adjustment and Prior Savings Adjustment dollars</t>
  </si>
  <si>
    <t>The PBPM Total Enhancement Credit to Settlement multiplied by the total number of PPCP eligible beneficiary-months assigned to the ACO for the performance year.</t>
  </si>
  <si>
    <t>IV.E &amp; Appendix A</t>
  </si>
  <si>
    <t>Health Equity Adjustment PBPM</t>
  </si>
  <si>
    <t>The ACO's average Health Equity Adjustment PBPM.</t>
  </si>
  <si>
    <t>J = I x B</t>
  </si>
  <si>
    <t>Health Equity Credit / (Debit) dollars</t>
  </si>
  <si>
    <t>The Health Equity Adjustment PBPM multiplied by the total number of PPCP eligible beneficiary-months assigned to the ACO for the performance year.</t>
  </si>
  <si>
    <t>K = H + J</t>
  </si>
  <si>
    <t>Total ACO PC Flex Settlement Credit / (Debit)</t>
  </si>
  <si>
    <t>The sum of the Total Enhancement Credit to Settlement after offset for Positive Regional Adjustment and Prior Savings Adjustment dollars and the Health Equity Credit / (Debit)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</si>
</sst>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0_);_(* \(#,##0.000\);_(* &quot;-&quot;??_);_(@_)"/>
    <numFmt numFmtId="165" formatCode="_(* #,##0_);_(* \(#,##0\);_(*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9"/>
      <color theme="1"/>
      <name val="Segoe UI"/>
      <family val="2"/>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pplyProtection="1">
      <alignment horizontal="center" vertical="top"/>
      <protection locked="0"/>
    </xf>
    <xf numFmtId="0" fontId="0" fillId="0" borderId="0" xfId="0" applyAlignment="1" applyProtection="1">
      <alignment horizontal="left" vertical="top" wrapText="1"/>
      <protection locked="0"/>
    </xf>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2" fillId="0" borderId="0" xfId="0" applyFont="1" applyProtection="1">
      <protection locked="0"/>
    </xf>
    <xf numFmtId="0" fontId="4" fillId="0" borderId="0" xfId="0" applyFont="1" applyAlignment="1" applyProtection="1">
      <alignment horizontal="left" wrapText="1"/>
      <protection locked="0"/>
    </xf>
    <xf numFmtId="0" fontId="5" fillId="0" borderId="0" xfId="0" applyFont="1" applyProtection="1">
      <protection locked="0"/>
    </xf>
    <xf numFmtId="0" fontId="3" fillId="0" borderId="0" xfId="0" applyFont="1" applyProtection="1">
      <protection locked="0"/>
    </xf>
    <xf numFmtId="0" fontId="0" fillId="0" borderId="0" xfId="0" applyAlignment="1" applyProtection="1">
      <alignment wrapText="1"/>
      <protection locked="0"/>
    </xf>
    <xf numFmtId="0" fontId="6" fillId="0" borderId="0" xfId="0" applyFont="1" applyProtection="1">
      <protection locked="0"/>
    </xf>
    <xf numFmtId="0" fontId="3"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3" fillId="2" borderId="2" xfId="0" applyFont="1" applyFill="1"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2" xfId="0" quotePrefix="1" applyBorder="1"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0" fillId="2" borderId="0" xfId="0" applyFill="1" applyAlignment="1">
      <alignment horizontal="center" vertical="center" wrapText="1"/>
    </xf>
    <xf numFmtId="0" fontId="2" fillId="0" borderId="0" xfId="0" applyFont="1" applyAlignment="1">
      <alignment horizontal="center" vertical="center"/>
    </xf>
    <xf numFmtId="0" fontId="4" fillId="2" borderId="0" xfId="0" applyFont="1" applyFill="1" applyAlignment="1">
      <alignment horizontal="center" vertical="center" wrapText="1"/>
    </xf>
    <xf numFmtId="43" fontId="0" fillId="0" borderId="0" xfId="1" applyFont="1" applyAlignment="1" applyProtection="1">
      <alignment horizontal="center" vertical="center" wrapText="1"/>
    </xf>
    <xf numFmtId="0" fontId="4" fillId="0" borderId="0" xfId="0" applyFont="1" applyAlignment="1">
      <alignment horizontal="left" vertical="center" wrapText="1"/>
    </xf>
    <xf numFmtId="0" fontId="0" fillId="0" borderId="0" xfId="0" applyAlignment="1">
      <alignment horizontal="center" vertical="center"/>
    </xf>
    <xf numFmtId="44" fontId="0" fillId="0" borderId="0" xfId="2" applyFont="1" applyAlignment="1" applyProtection="1">
      <alignment horizontal="center" vertical="center" wrapText="1"/>
    </xf>
    <xf numFmtId="9" fontId="0" fillId="0" borderId="0" xfId="3" applyFont="1" applyAlignment="1" applyProtection="1">
      <alignment horizontal="center" vertical="center" wrapText="1"/>
    </xf>
    <xf numFmtId="165" fontId="0" fillId="0" borderId="0" xfId="1" applyNumberFormat="1" applyFont="1" applyAlignment="1" applyProtection="1">
      <alignment horizontal="center" vertical="center" wrapText="1"/>
    </xf>
    <xf numFmtId="165" fontId="0" fillId="0" borderId="0" xfId="0" applyNumberFormat="1" applyAlignment="1">
      <alignment horizontal="center" vertical="center"/>
    </xf>
    <xf numFmtId="0" fontId="0" fillId="0" borderId="0" xfId="0" applyAlignment="1">
      <alignment horizontal="center" vertical="center" wrapText="1"/>
    </xf>
    <xf numFmtId="164" fontId="0" fillId="0" borderId="0" xfId="1" applyNumberFormat="1" applyFont="1" applyAlignment="1" applyProtection="1">
      <alignment horizontal="center" vertical="center" wrapText="1"/>
    </xf>
    <xf numFmtId="164" fontId="0" fillId="0" borderId="0" xfId="1" applyNumberFormat="1" applyFont="1" applyAlignment="1" applyProtection="1">
      <alignment horizontal="center" vertical="center"/>
    </xf>
    <xf numFmtId="44" fontId="0" fillId="0" borderId="0" xfId="2" applyFont="1" applyAlignment="1" applyProtection="1">
      <alignment horizontal="center" vertical="center"/>
    </xf>
    <xf numFmtId="44" fontId="0" fillId="0" borderId="1" xfId="2" applyFont="1" applyBorder="1" applyAlignment="1" applyProtection="1">
      <alignment horizontal="center" vertical="center" wrapText="1"/>
    </xf>
    <xf numFmtId="44" fontId="0" fillId="0" borderId="1" xfId="2" applyFont="1" applyBorder="1" applyAlignment="1" applyProtection="1">
      <alignment horizontal="center" vertical="center"/>
    </xf>
    <xf numFmtId="0" fontId="3" fillId="0" borderId="0" xfId="0" applyFont="1" applyAlignment="1">
      <alignment vertical="top" wrapText="1"/>
    </xf>
    <xf numFmtId="44" fontId="0" fillId="0" borderId="1" xfId="2" applyFont="1" applyFill="1" applyBorder="1" applyAlignment="1" applyProtection="1">
      <alignment horizontal="center" vertical="center" wrapText="1"/>
    </xf>
    <xf numFmtId="44" fontId="0" fillId="0" borderId="1" xfId="2" applyFont="1" applyFill="1" applyBorder="1" applyAlignment="1" applyProtection="1">
      <alignment horizontal="center" vertical="center"/>
    </xf>
    <xf numFmtId="44" fontId="0" fillId="0" borderId="0" xfId="2" applyFont="1" applyFill="1" applyAlignment="1" applyProtection="1">
      <alignment horizontal="center" vertical="center" wrapText="1"/>
    </xf>
    <xf numFmtId="44" fontId="0" fillId="0" borderId="0" xfId="2" applyFont="1" applyFill="1" applyAlignment="1" applyProtection="1">
      <alignment horizontal="center" vertical="center"/>
    </xf>
    <xf numFmtId="0" fontId="0" fillId="0" borderId="0" xfId="0" applyAlignment="1">
      <alignment horizontal="left" vertical="center" wrapText="1"/>
    </xf>
    <xf numFmtId="0" fontId="0" fillId="3" borderId="0" xfId="0" applyFill="1" applyAlignment="1">
      <alignment horizontal="center" wrapText="1"/>
    </xf>
    <xf numFmtId="0" fontId="0" fillId="3" borderId="0" xfId="0" applyFill="1" applyAlignment="1">
      <alignment horizontal="center" vertical="top" wrapText="1"/>
    </xf>
    <xf numFmtId="0" fontId="0" fillId="3" borderId="0" xfId="0" applyFill="1" applyAlignment="1">
      <alignment horizontal="center"/>
    </xf>
    <xf numFmtId="165" fontId="0" fillId="0" borderId="0" xfId="1" applyNumberFormat="1" applyFont="1" applyAlignment="1" applyProtection="1">
      <alignment vertical="top"/>
    </xf>
    <xf numFmtId="165" fontId="0" fillId="0" borderId="0" xfId="0" applyNumberFormat="1" applyAlignment="1">
      <alignment vertical="top"/>
    </xf>
    <xf numFmtId="0" fontId="0" fillId="0" borderId="0" xfId="0" applyAlignment="1">
      <alignment vertical="top"/>
    </xf>
    <xf numFmtId="0" fontId="0" fillId="0" borderId="0" xfId="0" applyAlignment="1">
      <alignment horizontal="center" vertical="top" wrapText="1"/>
    </xf>
    <xf numFmtId="44" fontId="0" fillId="0" borderId="0" xfId="0" applyNumberFormat="1" applyAlignment="1">
      <alignment vertical="top"/>
    </xf>
    <xf numFmtId="44" fontId="0" fillId="0" borderId="0" xfId="2" applyFont="1" applyAlignment="1" applyProtection="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E0834-3607-4A07-855E-0478FC770862}">
  <sheetPr>
    <pageSetUpPr fitToPage="1"/>
  </sheetPr>
  <dimension ref="B1:H26"/>
  <sheetViews>
    <sheetView tabSelected="1" zoomScale="120" zoomScaleNormal="120" workbookViewId="0">
      <selection activeCell="B21" sqref="B21:B26"/>
    </sheetView>
  </sheetViews>
  <sheetFormatPr defaultColWidth="8.81640625" defaultRowHeight="14.5" x14ac:dyDescent="0.35"/>
  <cols>
    <col min="1" max="1" width="8.81640625" style="3"/>
    <col min="2" max="2" width="105" style="2" customWidth="1"/>
    <col min="3" max="16384" width="8.81640625" style="3"/>
  </cols>
  <sheetData>
    <row r="1" spans="2:8" x14ac:dyDescent="0.35">
      <c r="B1" s="12" t="s">
        <v>0</v>
      </c>
    </row>
    <row r="2" spans="2:8" x14ac:dyDescent="0.35">
      <c r="B2" s="13"/>
    </row>
    <row r="3" spans="2:8" ht="130.5" x14ac:dyDescent="0.4">
      <c r="B3" s="14" t="s">
        <v>1</v>
      </c>
      <c r="H3" s="11"/>
    </row>
    <row r="4" spans="2:8" ht="15" x14ac:dyDescent="0.4">
      <c r="B4" s="13"/>
      <c r="H4" s="11"/>
    </row>
    <row r="5" spans="2:8" ht="15" x14ac:dyDescent="0.4">
      <c r="B5" s="12" t="s">
        <v>2</v>
      </c>
      <c r="H5" s="11"/>
    </row>
    <row r="6" spans="2:8" ht="72.5" x14ac:dyDescent="0.35">
      <c r="B6" s="13" t="s">
        <v>3</v>
      </c>
    </row>
    <row r="7" spans="2:8" x14ac:dyDescent="0.35">
      <c r="B7" s="13"/>
    </row>
    <row r="8" spans="2:8" x14ac:dyDescent="0.35">
      <c r="B8" s="12" t="s">
        <v>4</v>
      </c>
    </row>
    <row r="9" spans="2:8" ht="29" x14ac:dyDescent="0.35">
      <c r="B9" s="13" t="s">
        <v>5</v>
      </c>
    </row>
    <row r="10" spans="2:8" ht="29" x14ac:dyDescent="0.35">
      <c r="B10" s="13" t="s">
        <v>6</v>
      </c>
    </row>
    <row r="11" spans="2:8" ht="29" x14ac:dyDescent="0.35">
      <c r="B11" s="13" t="s">
        <v>7</v>
      </c>
    </row>
    <row r="12" spans="2:8" x14ac:dyDescent="0.35">
      <c r="B12" s="13" t="s">
        <v>8</v>
      </c>
    </row>
    <row r="13" spans="2:8" ht="29" x14ac:dyDescent="0.35">
      <c r="B13" s="13" t="s">
        <v>9</v>
      </c>
    </row>
    <row r="14" spans="2:8" x14ac:dyDescent="0.35">
      <c r="B14" s="13"/>
    </row>
    <row r="15" spans="2:8" x14ac:dyDescent="0.35">
      <c r="B15" s="12" t="s">
        <v>10</v>
      </c>
    </row>
    <row r="16" spans="2:8" ht="29" x14ac:dyDescent="0.35">
      <c r="B16" s="13" t="s">
        <v>11</v>
      </c>
    </row>
    <row r="17" spans="2:2" ht="29" x14ac:dyDescent="0.35">
      <c r="B17" s="13" t="s">
        <v>12</v>
      </c>
    </row>
    <row r="18" spans="2:2" x14ac:dyDescent="0.35">
      <c r="B18" s="13" t="s">
        <v>13</v>
      </c>
    </row>
    <row r="19" spans="2:2" ht="43.5" x14ac:dyDescent="0.35">
      <c r="B19" s="13" t="s">
        <v>14</v>
      </c>
    </row>
    <row r="20" spans="2:2" ht="29" x14ac:dyDescent="0.35">
      <c r="B20" s="13" t="s">
        <v>15</v>
      </c>
    </row>
    <row r="21" spans="2:2" x14ac:dyDescent="0.35">
      <c r="B21" s="13"/>
    </row>
    <row r="22" spans="2:2" x14ac:dyDescent="0.35">
      <c r="B22" s="12" t="s">
        <v>16</v>
      </c>
    </row>
    <row r="23" spans="2:2" ht="29" x14ac:dyDescent="0.35">
      <c r="B23" s="13" t="s">
        <v>17</v>
      </c>
    </row>
    <row r="24" spans="2:2" x14ac:dyDescent="0.35">
      <c r="B24" s="13"/>
    </row>
    <row r="25" spans="2:2" x14ac:dyDescent="0.35">
      <c r="B25" s="13"/>
    </row>
    <row r="26" spans="2:2" x14ac:dyDescent="0.35">
      <c r="B26" s="13"/>
    </row>
  </sheetData>
  <sheetProtection sheet="1" objects="1" scenarios="1"/>
  <pageMargins left="0.7" right="0.7" top="0.75" bottom="0.75" header="0.3" footer="0.3"/>
  <pageSetup scale="86" orientation="portrait" r:id="rId1"/>
  <headerFooter>
    <oddHeader>&amp;C&amp;F
&amp;A</oddHeader>
    <oddFooter>&amp;L&amp;P of &amp;N&amp;R5/30/2024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FC597-5F6F-4011-8FDA-4E06CFC164BD}">
  <sheetPr>
    <pageSetUpPr fitToPage="1"/>
  </sheetPr>
  <dimension ref="B1:G14"/>
  <sheetViews>
    <sheetView zoomScaleNormal="100" workbookViewId="0">
      <selection activeCell="B24" sqref="B24"/>
    </sheetView>
  </sheetViews>
  <sheetFormatPr defaultColWidth="8.81640625" defaultRowHeight="14.5" x14ac:dyDescent="0.35"/>
  <cols>
    <col min="1" max="1" width="8.81640625" style="3"/>
    <col min="2" max="2" width="41.81640625" style="10" bestFit="1" customWidth="1"/>
    <col min="3" max="3" width="12" style="10" bestFit="1" customWidth="1"/>
    <col min="4" max="4" width="34.54296875" style="10" customWidth="1"/>
    <col min="5" max="5" width="37.453125" style="10" customWidth="1"/>
    <col min="6" max="6" width="24" style="1" customWidth="1"/>
    <col min="7" max="16384" width="8.81640625" style="3"/>
  </cols>
  <sheetData>
    <row r="1" spans="2:7" s="9" customFormat="1" ht="29" x14ac:dyDescent="0.35">
      <c r="B1" s="15" t="s">
        <v>18</v>
      </c>
      <c r="C1" s="15" t="s">
        <v>19</v>
      </c>
      <c r="D1" s="15" t="s">
        <v>20</v>
      </c>
      <c r="E1" s="15" t="s">
        <v>21</v>
      </c>
      <c r="F1" s="15" t="s">
        <v>22</v>
      </c>
      <c r="G1" s="8"/>
    </row>
    <row r="2" spans="2:7" x14ac:dyDescent="0.35">
      <c r="B2" s="16" t="s">
        <v>23</v>
      </c>
      <c r="C2" s="16" t="s">
        <v>24</v>
      </c>
      <c r="D2" s="16" t="s">
        <v>25</v>
      </c>
      <c r="E2" s="16" t="s">
        <v>26</v>
      </c>
      <c r="F2" s="17" t="s">
        <v>27</v>
      </c>
      <c r="G2" s="6"/>
    </row>
    <row r="3" spans="2:7" x14ac:dyDescent="0.35">
      <c r="B3" s="16" t="s">
        <v>28</v>
      </c>
      <c r="C3" s="16" t="s">
        <v>24</v>
      </c>
      <c r="D3" s="16" t="s">
        <v>25</v>
      </c>
      <c r="E3" s="16" t="s">
        <v>26</v>
      </c>
      <c r="F3" s="18" t="s">
        <v>29</v>
      </c>
      <c r="G3" s="6"/>
    </row>
    <row r="4" spans="2:7" x14ac:dyDescent="0.35">
      <c r="B4" s="16" t="s">
        <v>30</v>
      </c>
      <c r="C4" s="16" t="s">
        <v>31</v>
      </c>
      <c r="D4" s="16" t="s">
        <v>32</v>
      </c>
      <c r="E4" s="16" t="s">
        <v>33</v>
      </c>
      <c r="F4" s="18" t="s">
        <v>29</v>
      </c>
      <c r="G4" s="6"/>
    </row>
    <row r="5" spans="2:7" ht="43.5" x14ac:dyDescent="0.35">
      <c r="B5" s="16" t="s">
        <v>34</v>
      </c>
      <c r="C5" s="16" t="s">
        <v>35</v>
      </c>
      <c r="D5" s="16" t="s">
        <v>36</v>
      </c>
      <c r="E5" s="16" t="s">
        <v>37</v>
      </c>
      <c r="F5" s="18" t="s">
        <v>38</v>
      </c>
      <c r="G5" s="6"/>
    </row>
    <row r="6" spans="2:7" ht="43.5" x14ac:dyDescent="0.35">
      <c r="B6" s="16" t="s">
        <v>39</v>
      </c>
      <c r="C6" s="16" t="s">
        <v>35</v>
      </c>
      <c r="D6" s="16" t="s">
        <v>40</v>
      </c>
      <c r="E6" s="16" t="s">
        <v>37</v>
      </c>
      <c r="F6" s="18" t="s">
        <v>38</v>
      </c>
      <c r="G6" s="6"/>
    </row>
    <row r="7" spans="2:7" x14ac:dyDescent="0.35">
      <c r="B7" s="16" t="s">
        <v>41</v>
      </c>
      <c r="C7" s="16" t="s">
        <v>35</v>
      </c>
      <c r="D7" s="16" t="s">
        <v>42</v>
      </c>
      <c r="E7" s="16" t="s">
        <v>43</v>
      </c>
      <c r="F7" s="18" t="s">
        <v>44</v>
      </c>
      <c r="G7" s="6"/>
    </row>
    <row r="8" spans="2:7" ht="29" x14ac:dyDescent="0.35">
      <c r="B8" s="16" t="s">
        <v>45</v>
      </c>
      <c r="C8" s="16" t="s">
        <v>46</v>
      </c>
      <c r="D8" s="16" t="s">
        <v>47</v>
      </c>
      <c r="E8" s="16" t="s">
        <v>48</v>
      </c>
      <c r="F8" s="18" t="s">
        <v>49</v>
      </c>
      <c r="G8" s="6"/>
    </row>
    <row r="9" spans="2:7" ht="29" x14ac:dyDescent="0.35">
      <c r="B9" s="16" t="s">
        <v>50</v>
      </c>
      <c r="C9" s="16" t="s">
        <v>31</v>
      </c>
      <c r="D9" s="16"/>
      <c r="E9" s="16" t="s">
        <v>51</v>
      </c>
      <c r="F9" s="18" t="s">
        <v>52</v>
      </c>
      <c r="G9" s="6"/>
    </row>
    <row r="10" spans="2:7" ht="29" x14ac:dyDescent="0.35">
      <c r="B10" s="16" t="s">
        <v>53</v>
      </c>
      <c r="C10" s="16" t="s">
        <v>31</v>
      </c>
      <c r="D10" s="16" t="s">
        <v>54</v>
      </c>
      <c r="E10" s="16" t="s">
        <v>26</v>
      </c>
      <c r="F10" s="18" t="s">
        <v>55</v>
      </c>
      <c r="G10" s="6"/>
    </row>
    <row r="11" spans="2:7" x14ac:dyDescent="0.35">
      <c r="B11" s="16" t="s">
        <v>56</v>
      </c>
      <c r="C11" s="16" t="s">
        <v>31</v>
      </c>
      <c r="D11" s="16" t="s">
        <v>57</v>
      </c>
      <c r="E11" s="16" t="s">
        <v>26</v>
      </c>
      <c r="F11" s="18" t="s">
        <v>55</v>
      </c>
      <c r="G11" s="6"/>
    </row>
    <row r="12" spans="2:7" x14ac:dyDescent="0.35">
      <c r="B12" s="16" t="s">
        <v>58</v>
      </c>
      <c r="C12" s="16" t="s">
        <v>35</v>
      </c>
      <c r="D12" s="19" t="s">
        <v>59</v>
      </c>
      <c r="E12" s="19" t="s">
        <v>60</v>
      </c>
      <c r="F12" s="18" t="s">
        <v>61</v>
      </c>
      <c r="G12" s="6"/>
    </row>
    <row r="13" spans="2:7" x14ac:dyDescent="0.35">
      <c r="B13" s="16" t="s">
        <v>62</v>
      </c>
      <c r="C13" s="16" t="s">
        <v>31</v>
      </c>
      <c r="D13" s="16" t="s">
        <v>63</v>
      </c>
      <c r="E13" s="16" t="s">
        <v>64</v>
      </c>
      <c r="F13" s="18" t="s">
        <v>29</v>
      </c>
      <c r="G13" s="6"/>
    </row>
    <row r="14" spans="2:7" ht="29" x14ac:dyDescent="0.35">
      <c r="B14" s="16" t="s">
        <v>65</v>
      </c>
      <c r="C14" s="16" t="s">
        <v>46</v>
      </c>
      <c r="D14" s="16" t="s">
        <v>66</v>
      </c>
      <c r="E14" s="16" t="s">
        <v>67</v>
      </c>
      <c r="F14" s="18" t="s">
        <v>29</v>
      </c>
      <c r="G14" s="6"/>
    </row>
  </sheetData>
  <sheetProtection sheet="1" objects="1" scenarios="1"/>
  <pageMargins left="0.7" right="0.7" top="0.75" bottom="0.75" header="0.3" footer="0.3"/>
  <pageSetup scale="81" orientation="landscape" r:id="rId1"/>
  <headerFooter>
    <oddHeader>&amp;C&amp;F
&amp;A</oddHeader>
    <oddFooter>&amp;L&amp;P of &amp;N&amp;R5/30/2024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680D-922F-45E4-8DE2-D74FF3866772}">
  <sheetPr>
    <pageSetUpPr fitToPage="1"/>
  </sheetPr>
  <dimension ref="A1:K53"/>
  <sheetViews>
    <sheetView zoomScaleNormal="100" workbookViewId="0">
      <pane xSplit="2" ySplit="1" topLeftCell="H45" activePane="bottomRight" state="frozen"/>
      <selection pane="topRight" activeCell="B24" sqref="B24"/>
      <selection pane="bottomLeft" activeCell="B24" sqref="B24"/>
      <selection pane="bottomRight" activeCell="B50" sqref="B50"/>
    </sheetView>
  </sheetViews>
  <sheetFormatPr defaultColWidth="8.81640625" defaultRowHeight="14.5" x14ac:dyDescent="0.35"/>
  <cols>
    <col min="1" max="1" width="29.54296875" style="1" customWidth="1"/>
    <col min="2" max="2" width="46.1796875" style="4" customWidth="1"/>
    <col min="3" max="3" width="10.54296875" style="2" bestFit="1" customWidth="1"/>
    <col min="4" max="6" width="12.81640625" style="2" customWidth="1"/>
    <col min="7" max="7" width="12.453125" style="2" customWidth="1"/>
    <col min="8" max="8" width="12.453125" style="3" customWidth="1"/>
    <col min="9" max="9" width="3.453125" style="6" customWidth="1"/>
    <col min="10" max="10" width="56.54296875" style="7" customWidth="1"/>
    <col min="11" max="11" width="25.81640625" style="3" customWidth="1"/>
    <col min="12" max="12" width="22.453125" style="3" customWidth="1"/>
    <col min="13" max="16384" width="8.81640625" style="3"/>
  </cols>
  <sheetData>
    <row r="1" spans="1:11" ht="43.5" x14ac:dyDescent="0.35">
      <c r="A1" s="20"/>
      <c r="B1" s="21"/>
      <c r="C1" s="22" t="s">
        <v>68</v>
      </c>
      <c r="D1" s="22" t="s">
        <v>69</v>
      </c>
      <c r="E1" s="22" t="s">
        <v>70</v>
      </c>
      <c r="F1" s="22" t="s">
        <v>71</v>
      </c>
      <c r="G1" s="22" t="s">
        <v>72</v>
      </c>
      <c r="H1" s="22" t="s">
        <v>73</v>
      </c>
      <c r="I1" s="23"/>
      <c r="J1" s="24" t="s">
        <v>74</v>
      </c>
      <c r="K1" s="22" t="s">
        <v>22</v>
      </c>
    </row>
    <row r="2" spans="1:11" x14ac:dyDescent="0.35">
      <c r="A2" s="20" t="s">
        <v>75</v>
      </c>
      <c r="B2" s="21" t="s">
        <v>76</v>
      </c>
      <c r="C2" s="25">
        <v>1.03</v>
      </c>
      <c r="D2" s="25">
        <f>C2</f>
        <v>1.03</v>
      </c>
      <c r="E2" s="25">
        <f>D2</f>
        <v>1.03</v>
      </c>
      <c r="F2" s="25">
        <f>E2</f>
        <v>1.03</v>
      </c>
      <c r="G2" s="25">
        <f>F2</f>
        <v>1.03</v>
      </c>
      <c r="H2" s="25">
        <f>G2</f>
        <v>1.03</v>
      </c>
      <c r="I2" s="23"/>
      <c r="J2" s="26" t="s">
        <v>77</v>
      </c>
      <c r="K2" s="27" t="s">
        <v>52</v>
      </c>
    </row>
    <row r="3" spans="1:11" ht="29" x14ac:dyDescent="0.35">
      <c r="A3" s="20" t="s">
        <v>78</v>
      </c>
      <c r="B3" s="21" t="s">
        <v>62</v>
      </c>
      <c r="C3" s="28"/>
      <c r="D3" s="28"/>
      <c r="E3" s="28"/>
      <c r="F3" s="28"/>
      <c r="G3" s="28"/>
      <c r="H3" s="28">
        <f>200/12</f>
        <v>16.666666666666668</v>
      </c>
      <c r="I3" s="23"/>
      <c r="J3" s="26" t="s">
        <v>79</v>
      </c>
      <c r="K3" s="27" t="s">
        <v>29</v>
      </c>
    </row>
    <row r="4" spans="1:11" ht="29" x14ac:dyDescent="0.35">
      <c r="A4" s="20" t="s">
        <v>80</v>
      </c>
      <c r="B4" s="21" t="str">
        <f>'Exhibit 1 - PPCP Variables'!B10</f>
        <v>Add-on for Beneficiaries with FQHC Focused Care</v>
      </c>
      <c r="C4" s="28">
        <f>249/12</f>
        <v>20.75</v>
      </c>
      <c r="D4" s="28">
        <f t="shared" ref="D4:H5" si="0">C4</f>
        <v>20.75</v>
      </c>
      <c r="E4" s="28">
        <f t="shared" si="0"/>
        <v>20.75</v>
      </c>
      <c r="F4" s="28">
        <f t="shared" si="0"/>
        <v>20.75</v>
      </c>
      <c r="G4" s="28">
        <f t="shared" si="0"/>
        <v>20.75</v>
      </c>
      <c r="H4" s="28">
        <f t="shared" si="0"/>
        <v>20.75</v>
      </c>
      <c r="I4" s="23"/>
      <c r="J4" s="26" t="s">
        <v>81</v>
      </c>
      <c r="K4" s="27" t="s">
        <v>82</v>
      </c>
    </row>
    <row r="5" spans="1:11" ht="29" x14ac:dyDescent="0.35">
      <c r="A5" s="20" t="s">
        <v>83</v>
      </c>
      <c r="B5" s="21" t="str">
        <f>'Exhibit 1 - PPCP Variables'!B11</f>
        <v>Add-on for Beneficiaries with RHC Focused Care</v>
      </c>
      <c r="C5" s="28">
        <f>256/12</f>
        <v>21.333333333333332</v>
      </c>
      <c r="D5" s="28">
        <f t="shared" si="0"/>
        <v>21.333333333333332</v>
      </c>
      <c r="E5" s="28">
        <f t="shared" si="0"/>
        <v>21.333333333333332</v>
      </c>
      <c r="F5" s="28">
        <f t="shared" si="0"/>
        <v>21.333333333333332</v>
      </c>
      <c r="G5" s="28">
        <f t="shared" si="0"/>
        <v>21.333333333333332</v>
      </c>
      <c r="H5" s="28">
        <f t="shared" si="0"/>
        <v>21.333333333333332</v>
      </c>
      <c r="I5" s="23"/>
      <c r="J5" s="26" t="s">
        <v>84</v>
      </c>
      <c r="K5" s="27" t="s">
        <v>82</v>
      </c>
    </row>
    <row r="6" spans="1:11" x14ac:dyDescent="0.35">
      <c r="A6" s="20" t="s">
        <v>85</v>
      </c>
      <c r="B6" s="21" t="s">
        <v>86</v>
      </c>
      <c r="C6" s="29">
        <v>0.25</v>
      </c>
      <c r="D6" s="29">
        <v>0.25</v>
      </c>
      <c r="E6" s="29">
        <v>0.25</v>
      </c>
      <c r="F6" s="29">
        <v>0.25</v>
      </c>
      <c r="G6" s="29">
        <v>0.25</v>
      </c>
      <c r="H6" s="29">
        <v>0.25</v>
      </c>
      <c r="I6" s="23"/>
      <c r="J6" s="26" t="s">
        <v>87</v>
      </c>
      <c r="K6" s="27" t="s">
        <v>49</v>
      </c>
    </row>
    <row r="7" spans="1:11" ht="29" x14ac:dyDescent="0.35">
      <c r="A7" s="20" t="s">
        <v>88</v>
      </c>
      <c r="B7" s="21" t="s">
        <v>89</v>
      </c>
      <c r="C7" s="30">
        <v>12</v>
      </c>
      <c r="D7" s="30">
        <v>12</v>
      </c>
      <c r="E7" s="30">
        <v>12</v>
      </c>
      <c r="F7" s="30">
        <v>12</v>
      </c>
      <c r="G7" s="30">
        <f>117600-SUM(C7:F7)</f>
        <v>117552</v>
      </c>
      <c r="H7" s="31">
        <f>SUM(C7:G7)</f>
        <v>117600</v>
      </c>
      <c r="I7" s="23"/>
      <c r="J7" s="26" t="s">
        <v>90</v>
      </c>
      <c r="K7" s="32" t="s">
        <v>91</v>
      </c>
    </row>
    <row r="8" spans="1:11" x14ac:dyDescent="0.35">
      <c r="A8" s="20" t="s">
        <v>92</v>
      </c>
      <c r="B8" s="21" t="s">
        <v>41</v>
      </c>
      <c r="C8" s="33">
        <v>1.5</v>
      </c>
      <c r="D8" s="33">
        <v>1</v>
      </c>
      <c r="E8" s="33">
        <v>0.85</v>
      </c>
      <c r="F8" s="33">
        <v>1.3</v>
      </c>
      <c r="G8" s="33">
        <v>1.05</v>
      </c>
      <c r="H8" s="34">
        <f>SUMPRODUCT($C$7:$G$7,$C8:$G8)/$H$7</f>
        <v>1.050045918367347</v>
      </c>
      <c r="I8" s="23"/>
      <c r="J8" s="26" t="s">
        <v>93</v>
      </c>
      <c r="K8" s="27" t="s">
        <v>44</v>
      </c>
    </row>
    <row r="9" spans="1:11" ht="43.5" x14ac:dyDescent="0.35">
      <c r="A9" s="20" t="s">
        <v>94</v>
      </c>
      <c r="B9" s="21" t="s">
        <v>95</v>
      </c>
      <c r="C9" s="25" t="s">
        <v>96</v>
      </c>
      <c r="D9" s="25" t="s">
        <v>97</v>
      </c>
      <c r="E9" s="25" t="s">
        <v>98</v>
      </c>
      <c r="F9" s="25" t="s">
        <v>97</v>
      </c>
      <c r="G9" s="25" t="s">
        <v>97</v>
      </c>
      <c r="H9" s="27"/>
      <c r="I9" s="23"/>
      <c r="J9" s="26" t="s">
        <v>99</v>
      </c>
      <c r="K9" s="27" t="s">
        <v>27</v>
      </c>
    </row>
    <row r="10" spans="1:11" ht="29" x14ac:dyDescent="0.35">
      <c r="A10" s="20" t="s">
        <v>100</v>
      </c>
      <c r="B10" s="13" t="s">
        <v>34</v>
      </c>
      <c r="C10" s="25" t="s">
        <v>101</v>
      </c>
      <c r="D10" s="25" t="s">
        <v>102</v>
      </c>
      <c r="E10" s="25" t="s">
        <v>102</v>
      </c>
      <c r="F10" s="25" t="s">
        <v>102</v>
      </c>
      <c r="G10" s="25" t="s">
        <v>102</v>
      </c>
      <c r="H10" s="27"/>
      <c r="I10" s="23"/>
      <c r="J10" s="26" t="s">
        <v>103</v>
      </c>
      <c r="K10" s="27" t="s">
        <v>82</v>
      </c>
    </row>
    <row r="11" spans="1:11" ht="29" x14ac:dyDescent="0.35">
      <c r="A11" s="20" t="s">
        <v>104</v>
      </c>
      <c r="B11" s="13" t="s">
        <v>39</v>
      </c>
      <c r="C11" s="25" t="s">
        <v>102</v>
      </c>
      <c r="D11" s="25" t="s">
        <v>102</v>
      </c>
      <c r="E11" s="25" t="s">
        <v>102</v>
      </c>
      <c r="F11" s="25" t="s">
        <v>102</v>
      </c>
      <c r="G11" s="25" t="s">
        <v>102</v>
      </c>
      <c r="H11" s="27"/>
      <c r="I11" s="23"/>
      <c r="J11" s="26" t="s">
        <v>105</v>
      </c>
      <c r="K11" s="27" t="s">
        <v>82</v>
      </c>
    </row>
    <row r="12" spans="1:11" x14ac:dyDescent="0.35">
      <c r="A12" s="20"/>
      <c r="B12" s="21"/>
      <c r="C12" s="25"/>
      <c r="D12" s="25"/>
      <c r="E12" s="25"/>
      <c r="F12" s="25"/>
      <c r="G12" s="25"/>
      <c r="H12" s="27"/>
      <c r="I12" s="23"/>
      <c r="J12" s="26"/>
      <c r="K12" s="27"/>
    </row>
    <row r="13" spans="1:11" ht="29" x14ac:dyDescent="0.35">
      <c r="A13" s="20" t="s">
        <v>106</v>
      </c>
      <c r="B13" s="21" t="s">
        <v>23</v>
      </c>
      <c r="C13" s="28">
        <v>22</v>
      </c>
      <c r="D13" s="28">
        <v>22</v>
      </c>
      <c r="E13" s="28">
        <v>35</v>
      </c>
      <c r="F13" s="28">
        <v>37</v>
      </c>
      <c r="G13" s="28">
        <v>22</v>
      </c>
      <c r="H13" s="35">
        <f>SUMPRODUCT($C$7:$G$7,$C13:$G13)/$H$7</f>
        <v>22.002857142857142</v>
      </c>
      <c r="I13" s="23"/>
      <c r="J13" s="26" t="s">
        <v>107</v>
      </c>
      <c r="K13" s="27" t="s">
        <v>27</v>
      </c>
    </row>
    <row r="14" spans="1:11" ht="29" x14ac:dyDescent="0.35">
      <c r="A14" s="20" t="s">
        <v>108</v>
      </c>
      <c r="B14" s="21" t="s">
        <v>109</v>
      </c>
      <c r="C14" s="28">
        <f>IF(C10="Y",C4,IF(C11="Y",C5,0))</f>
        <v>20.75</v>
      </c>
      <c r="D14" s="28">
        <f>IF(D10="Y",D4,IF(D11="Y",D5,0))</f>
        <v>0</v>
      </c>
      <c r="E14" s="28">
        <v>0</v>
      </c>
      <c r="F14" s="28">
        <v>0</v>
      </c>
      <c r="G14" s="28">
        <f>IF(G10="Y",G4,IF(G11="Y",G5,0))</f>
        <v>0</v>
      </c>
      <c r="H14" s="35">
        <f>SUMPRODUCT($C$7:$G$7,$C14:$G14)/$H$7</f>
        <v>2.11734693877551E-3</v>
      </c>
      <c r="I14" s="23"/>
      <c r="J14" s="26" t="s">
        <v>110</v>
      </c>
      <c r="K14" s="27" t="s">
        <v>55</v>
      </c>
    </row>
    <row r="15" spans="1:11" ht="29" x14ac:dyDescent="0.35">
      <c r="A15" s="20" t="s">
        <v>111</v>
      </c>
      <c r="B15" s="21" t="s">
        <v>28</v>
      </c>
      <c r="C15" s="28">
        <v>12.25</v>
      </c>
      <c r="D15" s="28">
        <v>12.25</v>
      </c>
      <c r="E15" s="28">
        <v>0</v>
      </c>
      <c r="F15" s="28">
        <v>0</v>
      </c>
      <c r="G15" s="28">
        <v>12.25</v>
      </c>
      <c r="H15" s="35">
        <f>SUMPRODUCT($C$7:$G$7,$C15:$G15)/$H$7</f>
        <v>12.2475</v>
      </c>
      <c r="I15" s="23"/>
      <c r="J15" s="26" t="s">
        <v>112</v>
      </c>
      <c r="K15" s="27" t="s">
        <v>29</v>
      </c>
    </row>
    <row r="16" spans="1:11" x14ac:dyDescent="0.35">
      <c r="A16" s="20" t="s">
        <v>102</v>
      </c>
      <c r="B16" s="21" t="s">
        <v>30</v>
      </c>
      <c r="C16" s="36">
        <f>125/12</f>
        <v>10.416666666666666</v>
      </c>
      <c r="D16" s="36">
        <f>C16</f>
        <v>10.416666666666666</v>
      </c>
      <c r="E16" s="36">
        <f>D16</f>
        <v>10.416666666666666</v>
      </c>
      <c r="F16" s="36">
        <f>E16</f>
        <v>10.416666666666666</v>
      </c>
      <c r="G16" s="36">
        <f>E16</f>
        <v>10.416666666666666</v>
      </c>
      <c r="H16" s="37">
        <f>SUMPRODUCT($C$7:$G$7,$C16:$G16)/$H$7</f>
        <v>10.416666666666666</v>
      </c>
      <c r="I16" s="23"/>
      <c r="J16" s="26" t="s">
        <v>113</v>
      </c>
      <c r="K16" s="27" t="s">
        <v>29</v>
      </c>
    </row>
    <row r="17" spans="1:11" x14ac:dyDescent="0.35">
      <c r="A17" s="20" t="s">
        <v>114</v>
      </c>
      <c r="B17" s="21" t="s">
        <v>115</v>
      </c>
      <c r="C17" s="28">
        <f t="shared" ref="C17:H17" si="1">SUM(C13:C16)</f>
        <v>65.416666666666671</v>
      </c>
      <c r="D17" s="28">
        <f t="shared" si="1"/>
        <v>44.666666666666664</v>
      </c>
      <c r="E17" s="28">
        <f t="shared" si="1"/>
        <v>45.416666666666664</v>
      </c>
      <c r="F17" s="28">
        <f t="shared" si="1"/>
        <v>47.416666666666664</v>
      </c>
      <c r="G17" s="28">
        <f t="shared" si="1"/>
        <v>44.666666666666664</v>
      </c>
      <c r="H17" s="28">
        <f t="shared" si="1"/>
        <v>44.66914115646258</v>
      </c>
      <c r="I17" s="23"/>
      <c r="J17" s="26" t="s">
        <v>116</v>
      </c>
      <c r="K17" s="27"/>
    </row>
    <row r="18" spans="1:11" x14ac:dyDescent="0.35">
      <c r="A18" s="20"/>
      <c r="B18" s="21" t="s">
        <v>117</v>
      </c>
      <c r="C18" s="28"/>
      <c r="D18" s="28"/>
      <c r="E18" s="28"/>
      <c r="F18" s="28"/>
      <c r="G18" s="28"/>
      <c r="H18" s="35"/>
      <c r="I18" s="23"/>
      <c r="J18" s="26"/>
      <c r="K18" s="27"/>
    </row>
    <row r="19" spans="1:11" x14ac:dyDescent="0.35">
      <c r="A19" s="20"/>
      <c r="B19" s="38" t="s">
        <v>118</v>
      </c>
      <c r="C19" s="28"/>
      <c r="D19" s="28"/>
      <c r="E19" s="28"/>
      <c r="F19" s="28"/>
      <c r="G19" s="28"/>
      <c r="H19" s="35"/>
      <c r="I19" s="23"/>
      <c r="J19" s="26"/>
      <c r="K19" s="27" t="s">
        <v>44</v>
      </c>
    </row>
    <row r="20" spans="1:11" x14ac:dyDescent="0.35">
      <c r="A20" s="20" t="s">
        <v>119</v>
      </c>
      <c r="B20" s="21" t="s">
        <v>120</v>
      </c>
      <c r="C20" s="28">
        <f>C$8*C13</f>
        <v>33</v>
      </c>
      <c r="D20" s="28">
        <f t="shared" ref="C20:G23" si="2">D$8*D13</f>
        <v>22</v>
      </c>
      <c r="E20" s="28">
        <f t="shared" si="2"/>
        <v>29.75</v>
      </c>
      <c r="F20" s="28">
        <f t="shared" si="2"/>
        <v>48.1</v>
      </c>
      <c r="G20" s="28">
        <f t="shared" si="2"/>
        <v>23.1</v>
      </c>
      <c r="H20" s="35">
        <f>SUMPRODUCT($C$7:$G$7,$C20:$G20)/$H$7</f>
        <v>23.104127551020412</v>
      </c>
      <c r="I20" s="23"/>
      <c r="J20" s="26" t="s">
        <v>121</v>
      </c>
      <c r="K20" s="27"/>
    </row>
    <row r="21" spans="1:11" ht="29" x14ac:dyDescent="0.35">
      <c r="A21" s="20" t="s">
        <v>122</v>
      </c>
      <c r="B21" s="21" t="s">
        <v>123</v>
      </c>
      <c r="C21" s="28">
        <f t="shared" si="2"/>
        <v>31.125</v>
      </c>
      <c r="D21" s="28">
        <f t="shared" si="2"/>
        <v>0</v>
      </c>
      <c r="E21" s="28">
        <f t="shared" si="2"/>
        <v>0</v>
      </c>
      <c r="F21" s="28">
        <f t="shared" si="2"/>
        <v>0</v>
      </c>
      <c r="G21" s="28">
        <f t="shared" si="2"/>
        <v>0</v>
      </c>
      <c r="H21" s="35">
        <f>SUMPRODUCT($C$7:$G$7,$C21:$G21)/$H$7</f>
        <v>3.1760204081632652E-3</v>
      </c>
      <c r="I21" s="23"/>
      <c r="J21" s="26" t="s">
        <v>124</v>
      </c>
      <c r="K21" s="27"/>
    </row>
    <row r="22" spans="1:11" x14ac:dyDescent="0.35">
      <c r="A22" s="20" t="s">
        <v>125</v>
      </c>
      <c r="B22" s="21" t="s">
        <v>126</v>
      </c>
      <c r="C22" s="28">
        <f t="shared" si="2"/>
        <v>18.375</v>
      </c>
      <c r="D22" s="28">
        <f t="shared" si="2"/>
        <v>12.25</v>
      </c>
      <c r="E22" s="28">
        <f t="shared" si="2"/>
        <v>0</v>
      </c>
      <c r="F22" s="28">
        <f t="shared" si="2"/>
        <v>0</v>
      </c>
      <c r="G22" s="28">
        <f t="shared" si="2"/>
        <v>12.862500000000001</v>
      </c>
      <c r="H22" s="35">
        <f>SUMPRODUCT($C$7:$G$7,$C22:$G22)/$H$7</f>
        <v>12.860375000000001</v>
      </c>
      <c r="I22" s="23"/>
      <c r="J22" s="26" t="s">
        <v>127</v>
      </c>
      <c r="K22" s="27"/>
    </row>
    <row r="23" spans="1:11" x14ac:dyDescent="0.35">
      <c r="A23" s="20" t="s">
        <v>128</v>
      </c>
      <c r="B23" s="21" t="s">
        <v>129</v>
      </c>
      <c r="C23" s="36">
        <f t="shared" si="2"/>
        <v>15.625</v>
      </c>
      <c r="D23" s="36">
        <f t="shared" si="2"/>
        <v>10.416666666666666</v>
      </c>
      <c r="E23" s="36">
        <f t="shared" si="2"/>
        <v>8.8541666666666661</v>
      </c>
      <c r="F23" s="36">
        <f t="shared" si="2"/>
        <v>13.541666666666666</v>
      </c>
      <c r="G23" s="36">
        <f t="shared" si="2"/>
        <v>10.9375</v>
      </c>
      <c r="H23" s="37">
        <f>SUMPRODUCT($C$7:$G$7,$C23:$G23)/$H$7</f>
        <v>10.937978316326531</v>
      </c>
      <c r="I23" s="23"/>
      <c r="J23" s="26" t="s">
        <v>130</v>
      </c>
      <c r="K23" s="27"/>
    </row>
    <row r="24" spans="1:11" ht="29" x14ac:dyDescent="0.35">
      <c r="A24" s="20" t="s">
        <v>131</v>
      </c>
      <c r="B24" s="21" t="s">
        <v>132</v>
      </c>
      <c r="C24" s="28">
        <f>SUM(C20:C23)</f>
        <v>98.125</v>
      </c>
      <c r="D24" s="28">
        <f t="shared" ref="D24:H24" si="3">SUM(D20:D23)</f>
        <v>44.666666666666664</v>
      </c>
      <c r="E24" s="28">
        <f t="shared" si="3"/>
        <v>38.604166666666664</v>
      </c>
      <c r="F24" s="28">
        <f t="shared" si="3"/>
        <v>61.641666666666666</v>
      </c>
      <c r="G24" s="28">
        <f t="shared" si="3"/>
        <v>46.900000000000006</v>
      </c>
      <c r="H24" s="28">
        <f t="shared" si="3"/>
        <v>46.905656887755107</v>
      </c>
      <c r="I24" s="23"/>
      <c r="J24" s="26" t="s">
        <v>133</v>
      </c>
      <c r="K24" s="27"/>
    </row>
    <row r="25" spans="1:11" x14ac:dyDescent="0.35">
      <c r="A25" s="20"/>
      <c r="B25" s="21"/>
      <c r="C25" s="28"/>
      <c r="D25" s="28"/>
      <c r="E25" s="28"/>
      <c r="F25" s="28"/>
      <c r="G25" s="28"/>
      <c r="H25" s="35"/>
      <c r="I25" s="23"/>
      <c r="J25" s="26"/>
      <c r="K25" s="27" t="s">
        <v>49</v>
      </c>
    </row>
    <row r="26" spans="1:11" x14ac:dyDescent="0.35">
      <c r="A26" s="20"/>
      <c r="B26" s="38" t="s">
        <v>134</v>
      </c>
      <c r="C26" s="28"/>
      <c r="D26" s="28"/>
      <c r="E26" s="28"/>
      <c r="F26" s="28"/>
      <c r="G26" s="28"/>
      <c r="H26" s="35"/>
      <c r="I26" s="23"/>
      <c r="J26" s="26" t="s">
        <v>135</v>
      </c>
      <c r="K26" s="27"/>
    </row>
    <row r="27" spans="1:11" ht="29" x14ac:dyDescent="0.35">
      <c r="A27" s="20" t="s">
        <v>136</v>
      </c>
      <c r="B27" s="21" t="str">
        <f>B20</f>
        <v xml:space="preserve">  County Base Rate</v>
      </c>
      <c r="C27" s="28">
        <f t="shared" ref="C27:G28" si="4">C20*(1-C$6)</f>
        <v>24.75</v>
      </c>
      <c r="D27" s="28">
        <f t="shared" si="4"/>
        <v>16.5</v>
      </c>
      <c r="E27" s="28">
        <f t="shared" si="4"/>
        <v>22.3125</v>
      </c>
      <c r="F27" s="28">
        <f t="shared" si="4"/>
        <v>36.075000000000003</v>
      </c>
      <c r="G27" s="28">
        <f t="shared" si="4"/>
        <v>17.325000000000003</v>
      </c>
      <c r="H27" s="35">
        <f>SUMPRODUCT($C$7:$G$7,$C27:$G27)/$H$7</f>
        <v>17.328095663265309</v>
      </c>
      <c r="I27" s="23"/>
      <c r="J27" s="26" t="s">
        <v>137</v>
      </c>
      <c r="K27" s="27"/>
    </row>
    <row r="28" spans="1:11" ht="29" x14ac:dyDescent="0.35">
      <c r="A28" s="20" t="s">
        <v>138</v>
      </c>
      <c r="B28" s="21" t="str">
        <f>B21</f>
        <v xml:space="preserve">  Add-on for Beneficiaries with FQHC/RHC Focused Care</v>
      </c>
      <c r="C28" s="28">
        <f t="shared" si="4"/>
        <v>23.34375</v>
      </c>
      <c r="D28" s="28">
        <f t="shared" si="4"/>
        <v>0</v>
      </c>
      <c r="E28" s="28">
        <f t="shared" si="4"/>
        <v>0</v>
      </c>
      <c r="F28" s="28">
        <f t="shared" si="4"/>
        <v>0</v>
      </c>
      <c r="G28" s="28">
        <f t="shared" si="4"/>
        <v>0</v>
      </c>
      <c r="H28" s="35">
        <f>SUMPRODUCT($C$7:$G$7,$C28:$G28)/$H$7</f>
        <v>2.3820153061224489E-3</v>
      </c>
      <c r="I28" s="23"/>
      <c r="J28" s="26" t="s">
        <v>139</v>
      </c>
      <c r="K28" s="27"/>
    </row>
    <row r="29" spans="1:11" ht="29" x14ac:dyDescent="0.35">
      <c r="A29" s="20" t="s">
        <v>140</v>
      </c>
      <c r="B29" s="21" t="str">
        <f>B22</f>
        <v xml:space="preserve">  County Enhancement</v>
      </c>
      <c r="C29" s="28">
        <f t="shared" ref="C29:G29" si="5">C22*(1-C$6)</f>
        <v>13.78125</v>
      </c>
      <c r="D29" s="28">
        <f t="shared" si="5"/>
        <v>9.1875</v>
      </c>
      <c r="E29" s="28">
        <f t="shared" ref="E29:F29" si="6">E22*(1-E$6)</f>
        <v>0</v>
      </c>
      <c r="F29" s="28">
        <f t="shared" si="6"/>
        <v>0</v>
      </c>
      <c r="G29" s="28">
        <f t="shared" si="5"/>
        <v>9.6468750000000014</v>
      </c>
      <c r="H29" s="35">
        <f>SUMPRODUCT($C$7:$G$7,$C29:$G29)/$H$7</f>
        <v>9.6452812500000018</v>
      </c>
      <c r="I29" s="23"/>
      <c r="J29" s="26" t="s">
        <v>141</v>
      </c>
      <c r="K29" s="27"/>
    </row>
    <row r="30" spans="1:11" x14ac:dyDescent="0.35">
      <c r="A30" s="20" t="s">
        <v>142</v>
      </c>
      <c r="B30" s="21" t="str">
        <f>B23</f>
        <v xml:space="preserve">  Flex Enhancement</v>
      </c>
      <c r="C30" s="36">
        <f>C23</f>
        <v>15.625</v>
      </c>
      <c r="D30" s="36">
        <f>D23</f>
        <v>10.416666666666666</v>
      </c>
      <c r="E30" s="36">
        <f>E23</f>
        <v>8.8541666666666661</v>
      </c>
      <c r="F30" s="36">
        <f>F23</f>
        <v>13.541666666666666</v>
      </c>
      <c r="G30" s="36">
        <f>G23</f>
        <v>10.9375</v>
      </c>
      <c r="H30" s="37">
        <f>SUMPRODUCT($C$7:$G$7,$C30:$G30)/$H$7</f>
        <v>10.937978316326531</v>
      </c>
      <c r="I30" s="23"/>
      <c r="J30" s="26" t="s">
        <v>143</v>
      </c>
      <c r="K30" s="27"/>
    </row>
    <row r="31" spans="1:11" ht="29" x14ac:dyDescent="0.35">
      <c r="A31" s="20" t="s">
        <v>144</v>
      </c>
      <c r="B31" s="21" t="str">
        <f>B24</f>
        <v xml:space="preserve">    Total</v>
      </c>
      <c r="C31" s="28">
        <f t="shared" ref="C31:H31" si="7">SUM(C27:C30)</f>
        <v>77.5</v>
      </c>
      <c r="D31" s="28">
        <f t="shared" si="7"/>
        <v>36.104166666666664</v>
      </c>
      <c r="E31" s="28">
        <f t="shared" si="7"/>
        <v>31.166666666666664</v>
      </c>
      <c r="F31" s="28">
        <f t="shared" si="7"/>
        <v>49.616666666666667</v>
      </c>
      <c r="G31" s="28">
        <f t="shared" si="7"/>
        <v>37.909375000000004</v>
      </c>
      <c r="H31" s="28">
        <f t="shared" si="7"/>
        <v>37.913737244897959</v>
      </c>
      <c r="I31" s="23"/>
      <c r="J31" s="26" t="s">
        <v>145</v>
      </c>
      <c r="K31" s="27"/>
    </row>
    <row r="32" spans="1:11" x14ac:dyDescent="0.35">
      <c r="A32" s="20"/>
      <c r="B32" s="21"/>
      <c r="C32" s="28"/>
      <c r="D32" s="28"/>
      <c r="E32" s="28"/>
      <c r="F32" s="28"/>
      <c r="G32" s="28"/>
      <c r="H32" s="35"/>
      <c r="I32" s="23"/>
      <c r="J32" s="26"/>
      <c r="K32" s="27"/>
    </row>
    <row r="33" spans="1:11" x14ac:dyDescent="0.35">
      <c r="A33" s="20"/>
      <c r="B33" s="38" t="s">
        <v>146</v>
      </c>
      <c r="C33" s="28"/>
      <c r="D33" s="28"/>
      <c r="E33" s="28"/>
      <c r="F33" s="28"/>
      <c r="G33" s="28"/>
      <c r="H33" s="35"/>
      <c r="I33" s="23"/>
      <c r="J33" s="26" t="s">
        <v>147</v>
      </c>
      <c r="K33" s="27" t="s">
        <v>52</v>
      </c>
    </row>
    <row r="34" spans="1:11" ht="29" x14ac:dyDescent="0.35">
      <c r="A34" s="20" t="s">
        <v>148</v>
      </c>
      <c r="B34" s="21" t="str">
        <f>B27</f>
        <v xml:space="preserve">  County Base Rate</v>
      </c>
      <c r="C34" s="28">
        <f>C27*C$2</f>
        <v>25.4925</v>
      </c>
      <c r="D34" s="28">
        <f t="shared" ref="C34:G37" si="8">D27*D$2</f>
        <v>16.995000000000001</v>
      </c>
      <c r="E34" s="28">
        <f t="shared" si="8"/>
        <v>22.981875000000002</v>
      </c>
      <c r="F34" s="28">
        <f t="shared" si="8"/>
        <v>37.157250000000005</v>
      </c>
      <c r="G34" s="28">
        <f t="shared" si="8"/>
        <v>17.844750000000005</v>
      </c>
      <c r="H34" s="35">
        <f>SUMPRODUCT($C$7:$G$7,$C34:$G34)/$H$7</f>
        <v>17.847938533163269</v>
      </c>
      <c r="I34" s="23"/>
      <c r="J34" s="26" t="s">
        <v>149</v>
      </c>
      <c r="K34" s="27"/>
    </row>
    <row r="35" spans="1:11" ht="43.5" x14ac:dyDescent="0.35">
      <c r="A35" s="20" t="s">
        <v>150</v>
      </c>
      <c r="B35" s="21" t="str">
        <f>B28</f>
        <v xml:space="preserve">  Add-on for Beneficiaries with FQHC/RHC Focused Care</v>
      </c>
      <c r="C35" s="28">
        <f t="shared" si="8"/>
        <v>24.044062499999999</v>
      </c>
      <c r="D35" s="28">
        <f t="shared" si="8"/>
        <v>0</v>
      </c>
      <c r="E35" s="28">
        <f t="shared" si="8"/>
        <v>0</v>
      </c>
      <c r="F35" s="28">
        <f t="shared" si="8"/>
        <v>0</v>
      </c>
      <c r="G35" s="28">
        <f t="shared" si="8"/>
        <v>0</v>
      </c>
      <c r="H35" s="35">
        <f>SUMPRODUCT($C$7:$G$7,$C35:$G35)/$H$7</f>
        <v>2.4534757653061224E-3</v>
      </c>
      <c r="I35" s="23"/>
      <c r="J35" s="26" t="s">
        <v>151</v>
      </c>
      <c r="K35" s="27"/>
    </row>
    <row r="36" spans="1:11" ht="29" x14ac:dyDescent="0.35">
      <c r="A36" s="20" t="s">
        <v>152</v>
      </c>
      <c r="B36" s="21" t="str">
        <f t="shared" ref="B36:B38" si="9">B29</f>
        <v xml:space="preserve">  County Enhancement</v>
      </c>
      <c r="C36" s="28">
        <f t="shared" si="8"/>
        <v>14.194687500000001</v>
      </c>
      <c r="D36" s="28">
        <f t="shared" si="8"/>
        <v>9.4631249999999998</v>
      </c>
      <c r="E36" s="28">
        <f t="shared" si="8"/>
        <v>0</v>
      </c>
      <c r="F36" s="28">
        <f t="shared" si="8"/>
        <v>0</v>
      </c>
      <c r="G36" s="28">
        <f t="shared" si="8"/>
        <v>9.9362812500000022</v>
      </c>
      <c r="H36" s="35">
        <f>SUMPRODUCT($C$7:$G$7,$C36:$G36)/$H$7</f>
        <v>9.9346396875000025</v>
      </c>
      <c r="I36" s="23"/>
      <c r="J36" s="26" t="s">
        <v>153</v>
      </c>
      <c r="K36" s="27"/>
    </row>
    <row r="37" spans="1:11" ht="29" x14ac:dyDescent="0.35">
      <c r="A37" s="20" t="s">
        <v>154</v>
      </c>
      <c r="B37" s="21" t="str">
        <f t="shared" si="9"/>
        <v xml:space="preserve">  Flex Enhancement</v>
      </c>
      <c r="C37" s="39">
        <f t="shared" si="8"/>
        <v>16.09375</v>
      </c>
      <c r="D37" s="39">
        <f t="shared" si="8"/>
        <v>10.729166666666666</v>
      </c>
      <c r="E37" s="39">
        <f t="shared" si="8"/>
        <v>9.1197916666666661</v>
      </c>
      <c r="F37" s="39">
        <f t="shared" si="8"/>
        <v>13.947916666666666</v>
      </c>
      <c r="G37" s="39">
        <f t="shared" si="8"/>
        <v>11.265625</v>
      </c>
      <c r="H37" s="40">
        <f>SUMPRODUCT($C$7:$G$7,$C37:$G37)/$H$7</f>
        <v>11.266117665816326</v>
      </c>
      <c r="I37" s="23"/>
      <c r="J37" s="26" t="s">
        <v>155</v>
      </c>
      <c r="K37" s="27"/>
    </row>
    <row r="38" spans="1:11" ht="29" x14ac:dyDescent="0.35">
      <c r="A38" s="20" t="s">
        <v>156</v>
      </c>
      <c r="B38" s="21" t="str">
        <f t="shared" si="9"/>
        <v xml:space="preserve">    Total</v>
      </c>
      <c r="C38" s="28">
        <f>SUM(C34:C37)</f>
        <v>79.825000000000003</v>
      </c>
      <c r="D38" s="28">
        <f t="shared" ref="D38:H38" si="10">SUM(D34:D37)</f>
        <v>37.187291666666667</v>
      </c>
      <c r="E38" s="28">
        <f t="shared" si="10"/>
        <v>32.101666666666667</v>
      </c>
      <c r="F38" s="28">
        <f t="shared" si="10"/>
        <v>51.105166666666669</v>
      </c>
      <c r="G38" s="28">
        <f t="shared" si="10"/>
        <v>39.046656250000005</v>
      </c>
      <c r="H38" s="28">
        <f t="shared" si="10"/>
        <v>39.051149362244907</v>
      </c>
      <c r="I38" s="23"/>
      <c r="J38" s="26" t="s">
        <v>157</v>
      </c>
      <c r="K38" s="27"/>
    </row>
    <row r="39" spans="1:11" x14ac:dyDescent="0.35">
      <c r="A39" s="20"/>
      <c r="B39" s="21"/>
      <c r="C39" s="28"/>
      <c r="D39" s="28"/>
      <c r="E39" s="28"/>
      <c r="F39" s="28"/>
      <c r="G39" s="28"/>
      <c r="H39" s="35"/>
      <c r="I39" s="23"/>
      <c r="J39" s="26"/>
      <c r="K39" s="27"/>
    </row>
    <row r="40" spans="1:11" ht="29" x14ac:dyDescent="0.35">
      <c r="A40" s="20" t="s">
        <v>158</v>
      </c>
      <c r="B40" s="21" t="s">
        <v>159</v>
      </c>
      <c r="C40" s="28">
        <f>SUM(C36:C37)</f>
        <v>30.288437500000001</v>
      </c>
      <c r="D40" s="28">
        <f>SUM(D36:D37)</f>
        <v>20.192291666666666</v>
      </c>
      <c r="E40" s="28">
        <f>SUM(E36:E37)</f>
        <v>9.1197916666666661</v>
      </c>
      <c r="F40" s="28">
        <f>SUM(F36:F37)</f>
        <v>13.947916666666666</v>
      </c>
      <c r="G40" s="28">
        <f>SUM(G36:G37)</f>
        <v>21.20190625</v>
      </c>
      <c r="H40" s="35">
        <f>SUMPRODUCT($C$7:$G$7,$C40:$G40)/$H$7</f>
        <v>21.200757353316327</v>
      </c>
      <c r="I40" s="23"/>
      <c r="J40" s="26" t="s">
        <v>160</v>
      </c>
      <c r="K40" s="27"/>
    </row>
    <row r="41" spans="1:11" ht="29" x14ac:dyDescent="0.35">
      <c r="A41" s="20" t="s">
        <v>161</v>
      </c>
      <c r="B41" s="21" t="s">
        <v>162</v>
      </c>
      <c r="C41" s="28"/>
      <c r="D41" s="28"/>
      <c r="E41" s="28"/>
      <c r="F41" s="28"/>
      <c r="G41" s="28"/>
      <c r="H41" s="35">
        <f>MAX(H40-H3,0)</f>
        <v>4.5340906866496589</v>
      </c>
      <c r="I41" s="23"/>
      <c r="J41" s="26" t="s">
        <v>163</v>
      </c>
      <c r="K41" s="27" t="s">
        <v>29</v>
      </c>
    </row>
    <row r="42" spans="1:11" x14ac:dyDescent="0.35">
      <c r="A42" s="20"/>
      <c r="B42" s="21"/>
      <c r="C42" s="28"/>
      <c r="D42" s="28"/>
      <c r="E42" s="28"/>
      <c r="F42" s="28"/>
      <c r="G42" s="28"/>
      <c r="H42" s="35"/>
      <c r="I42" s="23"/>
      <c r="J42" s="26"/>
      <c r="K42" s="27"/>
    </row>
    <row r="43" spans="1:11" x14ac:dyDescent="0.35">
      <c r="A43" s="20"/>
      <c r="B43" s="21" t="s">
        <v>164</v>
      </c>
      <c r="C43" s="28"/>
      <c r="D43" s="28"/>
      <c r="E43" s="28"/>
      <c r="F43" s="28"/>
      <c r="G43" s="28"/>
      <c r="H43" s="35"/>
      <c r="I43" s="23"/>
      <c r="J43" s="26"/>
      <c r="K43" s="27" t="s">
        <v>29</v>
      </c>
    </row>
    <row r="44" spans="1:11" ht="29" x14ac:dyDescent="0.35">
      <c r="A44" s="20" t="s">
        <v>165</v>
      </c>
      <c r="B44" s="21" t="str">
        <f t="shared" ref="B44:G45" si="11">B34</f>
        <v xml:space="preserve">  County Base Rate</v>
      </c>
      <c r="C44" s="28">
        <f t="shared" si="11"/>
        <v>25.4925</v>
      </c>
      <c r="D44" s="28">
        <f t="shared" si="11"/>
        <v>16.995000000000001</v>
      </c>
      <c r="E44" s="28">
        <f t="shared" si="11"/>
        <v>22.981875000000002</v>
      </c>
      <c r="F44" s="28">
        <f t="shared" si="11"/>
        <v>37.157250000000005</v>
      </c>
      <c r="G44" s="28">
        <f t="shared" si="11"/>
        <v>17.844750000000005</v>
      </c>
      <c r="H44" s="35">
        <f t="shared" ref="H44:H50" si="12">SUMPRODUCT($C$7:$G$7,$C44:$G44)/$H$7</f>
        <v>17.847938533163269</v>
      </c>
      <c r="I44" s="23"/>
      <c r="J44" s="26" t="s">
        <v>149</v>
      </c>
      <c r="K44" s="27"/>
    </row>
    <row r="45" spans="1:11" ht="43.5" x14ac:dyDescent="0.35">
      <c r="A45" s="20" t="s">
        <v>166</v>
      </c>
      <c r="B45" s="21" t="str">
        <f t="shared" si="11"/>
        <v xml:space="preserve">  Add-on for Beneficiaries with FQHC/RHC Focused Care</v>
      </c>
      <c r="C45" s="28">
        <f t="shared" si="11"/>
        <v>24.044062499999999</v>
      </c>
      <c r="D45" s="28">
        <f t="shared" si="11"/>
        <v>0</v>
      </c>
      <c r="E45" s="28">
        <f t="shared" si="11"/>
        <v>0</v>
      </c>
      <c r="F45" s="28">
        <f t="shared" si="11"/>
        <v>0</v>
      </c>
      <c r="G45" s="28">
        <f t="shared" si="11"/>
        <v>0</v>
      </c>
      <c r="H45" s="35">
        <f t="shared" si="12"/>
        <v>2.4534757653061224E-3</v>
      </c>
      <c r="I45" s="23"/>
      <c r="J45" s="26" t="s">
        <v>151</v>
      </c>
      <c r="K45" s="27"/>
    </row>
    <row r="46" spans="1:11" ht="43.5" x14ac:dyDescent="0.35">
      <c r="A46" s="20" t="s">
        <v>167</v>
      </c>
      <c r="B46" s="21" t="s">
        <v>168</v>
      </c>
      <c r="C46" s="28">
        <v>0</v>
      </c>
      <c r="D46" s="28">
        <v>0</v>
      </c>
      <c r="E46" s="28">
        <v>0</v>
      </c>
      <c r="F46" s="28">
        <v>0</v>
      </c>
      <c r="G46" s="28">
        <v>0</v>
      </c>
      <c r="H46" s="35">
        <f t="shared" si="12"/>
        <v>0</v>
      </c>
      <c r="I46" s="23"/>
      <c r="J46" s="26" t="s">
        <v>169</v>
      </c>
      <c r="K46" s="27"/>
    </row>
    <row r="47" spans="1:11" ht="29" x14ac:dyDescent="0.35">
      <c r="A47" s="20" t="s">
        <v>170</v>
      </c>
      <c r="B47" s="21" t="str">
        <f t="shared" ref="B47:G47" si="13">B36</f>
        <v xml:space="preserve">  County Enhancement</v>
      </c>
      <c r="C47" s="28">
        <f t="shared" si="13"/>
        <v>14.194687500000001</v>
      </c>
      <c r="D47" s="28">
        <f t="shared" si="13"/>
        <v>9.4631249999999998</v>
      </c>
      <c r="E47" s="28">
        <f t="shared" ref="E47:F47" si="14">E36</f>
        <v>0</v>
      </c>
      <c r="F47" s="28">
        <f t="shared" si="14"/>
        <v>0</v>
      </c>
      <c r="G47" s="28">
        <f t="shared" si="13"/>
        <v>9.9362812500000022</v>
      </c>
      <c r="H47" s="35">
        <f t="shared" si="12"/>
        <v>9.9346396875000025</v>
      </c>
      <c r="I47" s="23"/>
      <c r="J47" s="26" t="s">
        <v>153</v>
      </c>
      <c r="K47" s="27"/>
    </row>
    <row r="48" spans="1:11" ht="43.5" x14ac:dyDescent="0.35">
      <c r="A48" s="20" t="s">
        <v>171</v>
      </c>
      <c r="B48" s="21" t="str">
        <f>B37</f>
        <v xml:space="preserve">  Flex Enhancement</v>
      </c>
      <c r="C48" s="41">
        <f>C37-$H$41</f>
        <v>11.559659313350341</v>
      </c>
      <c r="D48" s="41">
        <f>D37-$H$41</f>
        <v>6.1950759800170072</v>
      </c>
      <c r="E48" s="41">
        <f>E37-$H$41</f>
        <v>4.5857009800170072</v>
      </c>
      <c r="F48" s="41">
        <f>F37-$H$41</f>
        <v>9.4138259800170072</v>
      </c>
      <c r="G48" s="41">
        <f>G37-$H$41</f>
        <v>6.7315343133503411</v>
      </c>
      <c r="H48" s="42">
        <f t="shared" si="12"/>
        <v>6.7320269791666671</v>
      </c>
      <c r="I48" s="23"/>
      <c r="J48" s="26" t="s">
        <v>172</v>
      </c>
      <c r="K48" s="27"/>
    </row>
    <row r="49" spans="1:11" x14ac:dyDescent="0.35">
      <c r="A49" s="20" t="s">
        <v>173</v>
      </c>
      <c r="B49" s="21" t="s">
        <v>174</v>
      </c>
      <c r="C49" s="36">
        <v>3</v>
      </c>
      <c r="D49" s="36">
        <v>0.5</v>
      </c>
      <c r="E49" s="36">
        <v>0.75</v>
      </c>
      <c r="F49" s="36">
        <v>0.75</v>
      </c>
      <c r="G49" s="36">
        <v>0.05</v>
      </c>
      <c r="H49" s="37">
        <f t="shared" si="12"/>
        <v>5.0489795918367351E-2</v>
      </c>
      <c r="I49" s="23"/>
      <c r="J49" s="26" t="s">
        <v>175</v>
      </c>
      <c r="K49" s="27" t="s">
        <v>61</v>
      </c>
    </row>
    <row r="50" spans="1:11" ht="29" x14ac:dyDescent="0.35">
      <c r="A50" s="20" t="s">
        <v>176</v>
      </c>
      <c r="B50" s="21" t="s">
        <v>177</v>
      </c>
      <c r="C50" s="28">
        <f>SUM(C44:C49)</f>
        <v>78.29090931335034</v>
      </c>
      <c r="D50" s="28">
        <f>SUM(D44:D49)</f>
        <v>33.153200980017012</v>
      </c>
      <c r="E50" s="28">
        <f>SUM(E44:E49)</f>
        <v>28.317575980017011</v>
      </c>
      <c r="F50" s="28">
        <f>SUM(F44:F49)</f>
        <v>47.321075980017014</v>
      </c>
      <c r="G50" s="28">
        <f>SUM(G44:G49)</f>
        <v>34.562565563350347</v>
      </c>
      <c r="H50" s="35">
        <f t="shared" si="12"/>
        <v>34.567548471513611</v>
      </c>
      <c r="I50" s="23"/>
      <c r="J50" s="26" t="s">
        <v>178</v>
      </c>
      <c r="K50" s="27" t="s">
        <v>179</v>
      </c>
    </row>
    <row r="51" spans="1:11" x14ac:dyDescent="0.35">
      <c r="A51" s="20"/>
      <c r="B51" s="21"/>
      <c r="C51" s="28"/>
      <c r="D51" s="28"/>
      <c r="E51" s="28"/>
      <c r="F51" s="28"/>
      <c r="G51" s="28"/>
      <c r="H51" s="35"/>
      <c r="I51" s="23"/>
      <c r="J51" s="26"/>
      <c r="K51" s="27"/>
    </row>
    <row r="52" spans="1:11" x14ac:dyDescent="0.35">
      <c r="A52" s="20"/>
      <c r="B52" s="21"/>
      <c r="C52" s="28"/>
      <c r="D52" s="28"/>
      <c r="E52" s="28"/>
      <c r="F52" s="28"/>
      <c r="G52" s="28"/>
      <c r="H52" s="35"/>
      <c r="I52" s="23"/>
      <c r="J52" s="26"/>
      <c r="K52" s="27"/>
    </row>
    <row r="53" spans="1:11" ht="58" x14ac:dyDescent="0.35">
      <c r="A53" s="20" t="s">
        <v>180</v>
      </c>
      <c r="B53" s="21" t="s">
        <v>181</v>
      </c>
      <c r="C53" s="28">
        <f t="shared" ref="C53:H53" si="15">C47+C48</f>
        <v>25.754346813350342</v>
      </c>
      <c r="D53" s="28">
        <f t="shared" si="15"/>
        <v>15.658200980017007</v>
      </c>
      <c r="E53" s="28">
        <f t="shared" si="15"/>
        <v>4.5857009800170072</v>
      </c>
      <c r="F53" s="28">
        <f t="shared" si="15"/>
        <v>9.4138259800170072</v>
      </c>
      <c r="G53" s="28">
        <f t="shared" si="15"/>
        <v>16.667815563350345</v>
      </c>
      <c r="H53" s="28">
        <f t="shared" si="15"/>
        <v>16.666666666666671</v>
      </c>
      <c r="I53" s="23"/>
      <c r="J53" s="43" t="s">
        <v>182</v>
      </c>
      <c r="K53" s="27" t="s">
        <v>183</v>
      </c>
    </row>
  </sheetData>
  <sheetProtection sheet="1" objects="1" scenarios="1"/>
  <pageMargins left="0.25" right="0.25" top="0.75" bottom="0.75" header="0.3" footer="0.3"/>
  <pageSetup scale="56" fitToHeight="0" orientation="landscape" r:id="rId1"/>
  <headerFooter>
    <oddHeader>&amp;C&amp;F
&amp;A</oddHeader>
    <oddFooter>&amp;L&amp;P of &amp;N&amp;R5/30/2024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6F6E-D9FE-451C-88AF-1B3AB275FC74}">
  <sheetPr>
    <pageSetUpPr fitToPage="1"/>
  </sheetPr>
  <dimension ref="B1:F21"/>
  <sheetViews>
    <sheetView topLeftCell="A15" zoomScaleNormal="100" workbookViewId="0"/>
  </sheetViews>
  <sheetFormatPr defaultColWidth="8.81640625" defaultRowHeight="14.5" x14ac:dyDescent="0.35"/>
  <cols>
    <col min="1" max="1" width="2.453125" style="3" customWidth="1"/>
    <col min="2" max="2" width="15.1796875" style="1" customWidth="1"/>
    <col min="3" max="3" width="47.453125" style="2" customWidth="1"/>
    <col min="4" max="4" width="18" style="5" customWidth="1"/>
    <col min="5" max="5" width="48.1796875" style="4" customWidth="1"/>
    <col min="6" max="6" width="24.54296875" style="3" customWidth="1"/>
    <col min="7" max="16384" width="8.81640625" style="3"/>
  </cols>
  <sheetData>
    <row r="1" spans="2:6" x14ac:dyDescent="0.35">
      <c r="B1" s="20"/>
      <c r="C1" s="13"/>
      <c r="D1" s="44" t="s">
        <v>184</v>
      </c>
      <c r="E1" s="45" t="s">
        <v>74</v>
      </c>
      <c r="F1" s="46" t="s">
        <v>22</v>
      </c>
    </row>
    <row r="2" spans="2:6" ht="29" x14ac:dyDescent="0.35">
      <c r="B2" s="20" t="s">
        <v>75</v>
      </c>
      <c r="C2" s="13" t="s">
        <v>185</v>
      </c>
      <c r="D2" s="47">
        <v>120000</v>
      </c>
      <c r="E2" s="21" t="s">
        <v>186</v>
      </c>
      <c r="F2" s="27" t="s">
        <v>187</v>
      </c>
    </row>
    <row r="3" spans="2:6" ht="43.5" x14ac:dyDescent="0.35">
      <c r="B3" s="20" t="s">
        <v>78</v>
      </c>
      <c r="C3" s="13" t="s">
        <v>188</v>
      </c>
      <c r="D3" s="48">
        <v>117600</v>
      </c>
      <c r="E3" s="21" t="s">
        <v>189</v>
      </c>
      <c r="F3" s="32" t="s">
        <v>91</v>
      </c>
    </row>
    <row r="4" spans="2:6" x14ac:dyDescent="0.35">
      <c r="B4" s="20"/>
      <c r="C4" s="13"/>
      <c r="D4" s="49"/>
      <c r="E4" s="21"/>
      <c r="F4" s="27"/>
    </row>
    <row r="5" spans="2:6" x14ac:dyDescent="0.35">
      <c r="B5" s="20"/>
      <c r="C5" s="13"/>
      <c r="D5" s="20"/>
      <c r="E5" s="50"/>
      <c r="F5" s="27"/>
    </row>
    <row r="6" spans="2:6" ht="43.5" x14ac:dyDescent="0.35">
      <c r="B6" s="20" t="s">
        <v>80</v>
      </c>
      <c r="C6" s="13" t="s">
        <v>190</v>
      </c>
      <c r="D6" s="51">
        <f>'Exhibit 2 - PPCP Build'!H53</f>
        <v>16.666666666666671</v>
      </c>
      <c r="E6" s="21" t="s">
        <v>191</v>
      </c>
      <c r="F6" s="27" t="s">
        <v>192</v>
      </c>
    </row>
    <row r="7" spans="2:6" x14ac:dyDescent="0.35">
      <c r="B7" s="20"/>
      <c r="C7" s="13"/>
      <c r="D7" s="49"/>
      <c r="E7" s="21"/>
      <c r="F7" s="27"/>
    </row>
    <row r="8" spans="2:6" ht="43.5" x14ac:dyDescent="0.35">
      <c r="B8" s="20" t="s">
        <v>83</v>
      </c>
      <c r="C8" s="13" t="s">
        <v>193</v>
      </c>
      <c r="D8" s="52">
        <v>10</v>
      </c>
      <c r="E8" s="21" t="s">
        <v>194</v>
      </c>
      <c r="F8" s="27" t="s">
        <v>192</v>
      </c>
    </row>
    <row r="9" spans="2:6" ht="43.5" x14ac:dyDescent="0.35">
      <c r="B9" s="20" t="s">
        <v>85</v>
      </c>
      <c r="C9" s="13" t="s">
        <v>195</v>
      </c>
      <c r="D9" s="52">
        <v>5</v>
      </c>
      <c r="E9" s="21" t="s">
        <v>196</v>
      </c>
      <c r="F9" s="27" t="s">
        <v>192</v>
      </c>
    </row>
    <row r="10" spans="2:6" x14ac:dyDescent="0.35">
      <c r="B10" s="20"/>
      <c r="C10" s="13"/>
      <c r="D10" s="49"/>
      <c r="E10" s="21"/>
      <c r="F10" s="27"/>
    </row>
    <row r="11" spans="2:6" ht="29" x14ac:dyDescent="0.35">
      <c r="B11" s="20" t="s">
        <v>197</v>
      </c>
      <c r="C11" s="13" t="s">
        <v>198</v>
      </c>
      <c r="D11" s="51">
        <f>MAX(D8:D9)</f>
        <v>10</v>
      </c>
      <c r="E11" s="21" t="s">
        <v>199</v>
      </c>
      <c r="F11" s="27" t="s">
        <v>192</v>
      </c>
    </row>
    <row r="12" spans="2:6" x14ac:dyDescent="0.35">
      <c r="B12" s="20"/>
      <c r="C12" s="13"/>
      <c r="D12" s="49"/>
      <c r="E12" s="21"/>
      <c r="F12" s="27"/>
    </row>
    <row r="13" spans="2:6" ht="43.5" x14ac:dyDescent="0.35">
      <c r="B13" s="20" t="s">
        <v>200</v>
      </c>
      <c r="C13" s="13" t="s">
        <v>201</v>
      </c>
      <c r="D13" s="51">
        <f>D6-D11</f>
        <v>6.6666666666666714</v>
      </c>
      <c r="E13" s="21" t="s">
        <v>202</v>
      </c>
      <c r="F13" s="27" t="s">
        <v>192</v>
      </c>
    </row>
    <row r="14" spans="2:6" x14ac:dyDescent="0.35">
      <c r="B14" s="20"/>
      <c r="C14" s="13"/>
      <c r="D14" s="49"/>
      <c r="E14" s="21"/>
      <c r="F14" s="27"/>
    </row>
    <row r="15" spans="2:6" ht="58" x14ac:dyDescent="0.35">
      <c r="B15" s="20" t="s">
        <v>203</v>
      </c>
      <c r="C15" s="13" t="s">
        <v>204</v>
      </c>
      <c r="D15" s="52">
        <f>D13*D3</f>
        <v>784000.00000000058</v>
      </c>
      <c r="E15" s="21" t="s">
        <v>205</v>
      </c>
      <c r="F15" s="27" t="s">
        <v>206</v>
      </c>
    </row>
    <row r="16" spans="2:6" x14ac:dyDescent="0.35">
      <c r="B16" s="20"/>
      <c r="C16" s="13"/>
      <c r="D16" s="49"/>
      <c r="E16" s="21"/>
      <c r="F16"/>
    </row>
    <row r="17" spans="2:6" x14ac:dyDescent="0.35">
      <c r="B17" s="20" t="s">
        <v>100</v>
      </c>
      <c r="C17" s="13" t="s">
        <v>207</v>
      </c>
      <c r="D17" s="51">
        <f>'Exhibit 2 - PPCP Build'!H49</f>
        <v>5.0489795918367351E-2</v>
      </c>
      <c r="E17" s="21" t="s">
        <v>208</v>
      </c>
      <c r="F17" s="27" t="s">
        <v>61</v>
      </c>
    </row>
    <row r="18" spans="2:6" x14ac:dyDescent="0.35">
      <c r="B18" s="20"/>
      <c r="C18" s="13"/>
      <c r="D18" s="49"/>
      <c r="E18" s="21"/>
      <c r="F18"/>
    </row>
    <row r="19" spans="2:6" ht="43.5" x14ac:dyDescent="0.35">
      <c r="B19" s="20" t="s">
        <v>209</v>
      </c>
      <c r="C19" s="13" t="s">
        <v>210</v>
      </c>
      <c r="D19" s="52">
        <f>D17*D3</f>
        <v>5937.6</v>
      </c>
      <c r="E19" s="21" t="s">
        <v>211</v>
      </c>
      <c r="F19" s="27" t="s">
        <v>61</v>
      </c>
    </row>
    <row r="20" spans="2:6" x14ac:dyDescent="0.35">
      <c r="B20" s="20"/>
      <c r="C20" s="13"/>
      <c r="D20" s="49"/>
      <c r="E20" s="21"/>
      <c r="F20"/>
    </row>
    <row r="21" spans="2:6" ht="58" x14ac:dyDescent="0.35">
      <c r="B21" s="20" t="s">
        <v>212</v>
      </c>
      <c r="C21" s="13" t="s">
        <v>213</v>
      </c>
      <c r="D21" s="51">
        <f>D15+D19</f>
        <v>789937.60000000056</v>
      </c>
      <c r="E21" s="21" t="s">
        <v>214</v>
      </c>
      <c r="F21"/>
    </row>
  </sheetData>
  <sheetProtection sheet="1" objects="1" scenarios="1"/>
  <pageMargins left="0.7" right="0.7" top="0.75" bottom="0.75" header="0.3" footer="0.3"/>
  <pageSetup scale="79" fitToHeight="0" orientation="landscape" r:id="rId1"/>
  <headerFooter>
    <oddHeader>&amp;C&amp;F
&amp;A</oddHeader>
    <oddFooter>&amp;L&amp;P of &amp;N&amp;R5/30/2024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category xmlns="072b401d-2742-4647-bcde-002f1df979cc" xsi:nil="true"/>
    <Category xmlns="072b401d-2742-4647-bcde-002f1df979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18DE5513688A429E04423FD727C1BA" ma:contentTypeVersion="2" ma:contentTypeDescription="Create a new document." ma:contentTypeScope="" ma:versionID="c75bc2d5151859645b01406b594a51a3">
  <xsd:schema xmlns:xsd="http://www.w3.org/2001/XMLSchema" xmlns:xs="http://www.w3.org/2001/XMLSchema" xmlns:p="http://schemas.microsoft.com/office/2006/metadata/properties" xmlns:ns2="072b401d-2742-4647-bcde-002f1df979cc" targetNamespace="http://schemas.microsoft.com/office/2006/metadata/properties" ma:root="true" ma:fieldsID="46a18f263db0d4d0ff6eb13131c500d9" ns2:_="">
    <xsd:import namespace="072b401d-2742-4647-bcde-002f1df979cc"/>
    <xsd:element name="properties">
      <xsd:complexType>
        <xsd:sequence>
          <xsd:element name="documentManagement">
            <xsd:complexType>
              <xsd:all>
                <xsd:element ref="ns2:Category" minOccurs="0"/>
                <xsd:element ref="ns2:Sub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b401d-2742-4647-bcde-002f1df979cc" elementFormDefault="qualified">
    <xsd:import namespace="http://schemas.microsoft.com/office/2006/documentManagement/types"/>
    <xsd:import namespace="http://schemas.microsoft.com/office/infopath/2007/PartnerControls"/>
    <xsd:element name="Category" ma:index="8" nillable="true" ma:displayName="Category" ma:list="{c3ac621e-ce20-4bd7-87a3-0c89f37127ff}" ma:internalName="Category" ma:showField="Title">
      <xsd:simpleType>
        <xsd:restriction base="dms:Lookup"/>
      </xsd:simpleType>
    </xsd:element>
    <xsd:element name="Subcategory" ma:index="9" nillable="true" ma:displayName="Subcategory" ma:list="{2595fece-efb1-42fe-bf3d-28040942e8b5}" ma:internalName="Subcategory"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E60B1F-CC2F-4D93-A6BD-F3DD5D84DC65}">
  <ds:schemaRefs>
    <ds:schemaRef ds:uri="http://schemas.microsoft.com/sharepoint/v3/contenttype/forms"/>
  </ds:schemaRefs>
</ds:datastoreItem>
</file>

<file path=customXml/itemProps2.xml><?xml version="1.0" encoding="utf-8"?>
<ds:datastoreItem xmlns:ds="http://schemas.openxmlformats.org/officeDocument/2006/customXml" ds:itemID="{43501F88-7FDF-4358-872D-F0F579E43296}">
  <ds:schemaRefs>
    <ds:schemaRef ds:uri="http://purl.org/dc/elements/1.1/"/>
    <ds:schemaRef ds:uri="http://purl.org/dc/dcmitype/"/>
    <ds:schemaRef ds:uri="http://schemas.microsoft.com/office/2006/metadata/properties"/>
    <ds:schemaRef ds:uri="http://schemas.microsoft.com/office/2006/documentManagement/types"/>
    <ds:schemaRef ds:uri="072b401d-2742-4647-bcde-002f1df979cc"/>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78F4B6D1-79F0-4EF8-8C16-8A744F775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b401d-2742-4647-bcde-002f1df97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Information About This File</vt:lpstr>
      <vt:lpstr>Exhibit 1 - PPCP Variables</vt:lpstr>
      <vt:lpstr>Exhibit 2 - PPCP Build</vt:lpstr>
      <vt:lpstr>Exhibit 3 - Enhancement Offset</vt:lpstr>
      <vt:lpstr>'Exhibit 1 - PPCP Variables'!Print_Area</vt:lpstr>
      <vt:lpstr>'Exhibit 3 - Enhancement Offset'!Print_Area</vt:lpstr>
      <vt:lpstr>'Information About This File'!Print_Area</vt:lpstr>
      <vt:lpstr>'Exhibit 2 - PPCP Build'!Print_Titles</vt:lpstr>
    </vt:vector>
  </TitlesOfParts>
  <Manager/>
  <Company>Center For Medicaid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ACO PC Flex RFA Exhibits and Example Calculations</dc:title>
  <dc:subject/>
  <dc:creator>HHS/CMS</dc:creator>
  <cp:keywords>ACO PC Flex RFA Exhibits and Example Calculations</cp:keywords>
  <dc:description/>
  <cp:lastModifiedBy>Rushton, Andrew (CMS/CMMI)</cp:lastModifiedBy>
  <cp:revision/>
  <dcterms:created xsi:type="dcterms:W3CDTF">2024-04-01T18:22:59Z</dcterms:created>
  <dcterms:modified xsi:type="dcterms:W3CDTF">2024-08-07T19:44:09Z</dcterms:modified>
  <cp:category>ACO PC Flex RFA Exhibits and Example Calculations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0x010100EB18DE5513688A429E04423FD727C1BA</vt:lpwstr>
  </property>
  <property fmtid="{D5CDD505-2E9C-101B-9397-08002B2CF9AE}" pid="3" name="MediaServiceImageTags">
    <vt:lpwstr/>
  </property>
</Properties>
</file>