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Box\Box\RY9G\Compliant 508 documents\"/>
    </mc:Choice>
  </mc:AlternateContent>
  <xr:revisionPtr revIDLastSave="0" documentId="8_{8A16EB7D-BE07-44D2-825A-8408193F8AF1}" xr6:coauthVersionLast="47" xr6:coauthVersionMax="47" xr10:uidLastSave="{00000000-0000-0000-0000-000000000000}"/>
  <workbookProtection workbookAlgorithmName="SHA-512" workbookHashValue="1iK717P2U+Nfr0IAhxlxtrcugg0jeXsdbD8fqv8iiLgcvdE4kHjacxiw2zkKn6o/hpVR+byUz3oZobRBIu8slw==" workbookSaltValue="O13R82HFNBDw4I6K8CHe/g==" workbookSpinCount="100000" lockStructure="1"/>
  <bookViews>
    <workbookView xWindow="31095" yWindow="1305" windowWidth="25560" windowHeight="14010" tabRatio="816" xr2:uid="{E423D655-C6DD-4C3E-8ADF-8CA5FB4C4971}"/>
  </bookViews>
  <sheets>
    <sheet name="Cover Page" sheetId="8" r:id="rId1"/>
    <sheet name="Payment Calculation Overview" sheetId="10" r:id="rId2"/>
    <sheet name="Step 1. Hospital Baseline" sheetId="31" r:id="rId3"/>
    <sheet name="Step 2. Volume Based Adj." sheetId="1" r:id="rId4"/>
    <sheet name="Step 3. Reflect FFS" sheetId="30" r:id="rId5"/>
    <sheet name="Step 4. AHEAD Specfic Adj" sheetId="3" r:id="rId6"/>
    <sheet name="Dropdowns" sheetId="36" state="hidden" r:id="rId7"/>
    <sheet name="Step 4a. CAH Quality Measures" sheetId="37" r:id="rId8"/>
    <sheet name="Step 4b. CAH Quality Adj" sheetId="38" r:id="rId9"/>
    <sheet name="Dropdowns (2)" sheetId="39" state="hidden" r:id="rId10"/>
    <sheet name="PY Selection" sheetId="41" state="hidden" r:id="rId11"/>
    <sheet name="Step 5. Final HGB" sheetId="5" r:id="rId12"/>
    <sheet name="Quality Results" sheetId="40" r:id="rId13"/>
    <sheet name="SRA Look Up Table" sheetId="22" r:id="rId14"/>
    <sheet name="EA Look Up table" sheetId="27" r:id="rId15"/>
    <sheet name="CIB Look Up Table" sheetId="29" r:id="rId16"/>
  </sheets>
  <definedNames>
    <definedName name="_AMO_ContentDefinition_179285213" hidden="1">"'Partitions:15'"</definedName>
    <definedName name="_AMO_ContentDefinition_179285213.0" hidden="1">"'&lt;ContentDefinition name=""sasCCW:/sas/vrdc/users/kow236/files/dua_050019/Vermont_ACO/VT AIPBP Development/PlanB/Data/aipbprpt/MonitoringReport/tab4_absumbymqy_long.sas7bdat"" rsid=""179285213"" type=""DataSet"" format=""ReportXml"" imgfmt=""ActiveX""'"</definedName>
    <definedName name="_AMO_ContentDefinition_179285213.1" hidden="1">"' created=""06/19/2019 14:12:36"" modifed=""06/20/2019 09:07:42"" user=""Katherine Owen"" apply=""False"" css=""D:\Program Files\SASHome\SASAddinforMicrosoftOffice\7.1\Styles\AMODefault.css"" range=""sasCCW__sas_vrdc_users_kow236_files_dua_050019_Vermo'"</definedName>
    <definedName name="_AMO_ContentDefinition_179285213.10" hidden="1">"'ParentName&amp;amp;gt;&amp;amp;#xD;&amp;amp;#xA;  &amp;amp;lt;Delimiter&amp;amp;gt;\&amp;amp;lt;/Delimiter&amp;amp;gt;&amp;amp;#xD;&amp;amp;#xA;  &amp;amp;lt;FullPath&amp;amp;gt;C:\Users\KOW236\AppData\Local\Temp\3\pqxijx2p.xfp\31640697389b459dbac1fe50fb977692.sas7bdat&amp;amp;lt;/FullPath&amp;amp;gt;&amp;'"</definedName>
    <definedName name="_AMO_ContentDefinition_179285213.11" hidden="1">"'amp;#xD;&amp;amp;#xA;  &amp;amp;lt;RelativePath&amp;amp;gt;C:\Users\KOW236\AppData\Local\Temp\3\pqxijx2p.xfp\31640697389b459dbac1fe50fb977692.sas7bdat&amp;amp;lt;/RelativePath&amp;amp;gt;&amp;amp;#xD;&amp;amp;#xA;&amp;amp;lt;/DNA&amp;amp;gt;&amp;quot; Name=&amp;quot;C:\Users\KOW236\AppData\Loca'"</definedName>
    <definedName name="_AMO_ContentDefinition_179285213.12" hidden="1">"'l\Temp\3\pqxijx2p.xfp\31640697389b459dbac1fe50fb977692.sas7bdat&amp;quot; /&amp;gt;"" /&gt;_x000D_
  &lt;param n=""ExcelTableColumnCount"" v=""6"" /&gt;_x000D_
  &lt;param n=""ExcelTableRowCount"" v=""768"" /&gt;_x000D_
  &lt;param n=""DataRowCount"" v=""768"" /&gt;_x000D_
  &lt;param n=""DataColCount"" '"</definedName>
    <definedName name="_AMO_ContentDefinition_179285213.13" hidden="1">"'v=""5"" /&gt;_x000D_
  &lt;param n=""ObsColumn"" v=""true"" /&gt;_x000D_
  &lt;param n=""ExcelFormattingHash"" v=""305108993"" /&gt;_x000D_
  &lt;param n=""ExcelFormatting"" v=""Automatic"" /&gt;_x000D_
  &lt;ExcelXMLOptions AdjColWidths=""True"" RowOpt=""InsertCells"" ColOpt=""InsertCells"" /&gt;_x000D_
'"</definedName>
    <definedName name="_AMO_ContentDefinition_179285213.14" hidden="1">"'&lt;/ContentDefinition&gt;'"</definedName>
    <definedName name="_AMO_ContentDefinition_179285213.2" hidden="1">"'nt_ACO_VT_AIPBP_Development_PlanB_Data_aipbprpt_MonitoringReport_tab4_absumbymqy_long_sas7bdat"" auto=""False"" xTime=""00:00:00.0019532"" rTime=""00:00:00.2675884"" bgnew=""False"" nFmt=""False"" grphSet=""True"" imgY=""0"" imgX=""0"" redirect=""Fal'"</definedName>
    <definedName name="_AMO_ContentDefinition_179285213.3" hidden="1">"'se""&gt;_x000D_
  &lt;files /&gt;_x000D_
  &lt;parents /&gt;_x000D_
  &lt;children /&gt;_x000D_
  &lt;param n=""AMO_Version"" v=""7.1"" /&gt;_x000D_
  &lt;param n=""DisplayName"" v=""sasCCW:/sas/vrdc/users/kow236/files/dua_050019/Vermont_ACO/VT AIPBP Development/PlanB/Data/aipbprpt/MonitoringReport/tab4_absumb'"</definedName>
    <definedName name="_AMO_ContentDefinition_179285213.4" hidden="1">"'ymqy_long.sas7bdat"" /&gt;_x000D_
  &lt;param n=""DisplayType"" v=""Data Set"" /&gt;_x000D_
  &lt;param n=""DataSourceType"" v=""SAS DATASET"" /&gt;_x000D_
  &lt;param n=""SASFilter"" v="""" /&gt;_x000D_
  &lt;param n=""MoreSheetsForRows"" v=""True"" /&gt;_x000D_
  &lt;param n=""PageSize"" v=""200000"" /&gt;_x000D_
  '"</definedName>
    <definedName name="_AMO_ContentDefinition_179285213.5" hidden="1">"'&lt;param n=""ShowRowNumbers"" v=""True"" /&gt;_x000D_
  &lt;param n=""ShowInfoInSheet"" v=""False"" /&gt;_x000D_
  &lt;param n=""CredKey"" v=""C:\Users\KOW236\AppData\Local\Temp\3\pqxijx2p.xfp\31640697389b459dbac1fe50fb977692.sas7bdat"" /&gt;_x000D_
  &lt;param n=""ClassName"" v=""SAS.Off'"</definedName>
    <definedName name="_AMO_ContentDefinition_179285213.6" hidden="1">"'iceAddin.DataViewItem"" /&gt;_x000D_
  &lt;param n=""ServerName"" v=""sasCCW"" /&gt;_x000D_
  &lt;param n=""DataSource"" v=""&amp;lt;SasDataSource Version=&amp;quot;4.2&amp;quot; Type=&amp;quot;SAS.Servers.Dataset&amp;quot; Svr=&amp;quot;sasCCW&amp;quot; SvrFile=&amp;quot;/sas/vrdc/users/kow236/files/dua_0'"</definedName>
    <definedName name="_AMO_ContentDefinition_179285213.7" hidden="1">"'50019/Vermont_ACO/VT AIPBP Development/PlanB/Data/aipbprpt/MonitoringReport/tab4_absumbymqy_long.sas7bdat&amp;quot; FilterDS=&amp;quot;&amp;amp;lt;?xml version=&amp;amp;quot;1.0&amp;amp;quot; encoding=&amp;amp;quot;utf-16&amp;amp;quot;?&amp;amp;gt;&amp;amp;lt;FilterTree&amp;amp;gt;&amp;amp;lt;T'"</definedName>
    <definedName name="_AMO_ContentDefinition_179285213.8" hidden="1">"'reeRoot /&amp;amp;gt;&amp;amp;lt;/FilterTree&amp;amp;gt;&amp;quot; ColSelFlg=&amp;quot;0&amp;quot; DNA=&amp;quot;&amp;amp;lt;DNA&amp;amp;gt;&amp;amp;#xD;&amp;amp;#xA;  &amp;amp;lt;Type&amp;amp;gt;LocalFile&amp;amp;lt;/Type&amp;amp;gt;&amp;amp;#xD;&amp;amp;#xA;  &amp;amp;lt;Name&amp;amp;gt;31640697389b459dbac1fe50fb977692.sas7'"</definedName>
    <definedName name="_AMO_ContentDefinition_179285213.9" hidden="1">"'bdat&amp;amp;lt;/Name&amp;amp;gt;&amp;amp;#xD;&amp;amp;#xA;  &amp;amp;lt;Version&amp;amp;gt;1&amp;amp;lt;/Version&amp;amp;gt;&amp;amp;#xD;&amp;amp;#xA;  &amp;amp;lt;Assembly /&amp;amp;gt;&amp;amp;#xD;&amp;amp;#xA;  &amp;amp;lt;Factory /&amp;amp;gt;&amp;amp;#xD;&amp;amp;#xA;  &amp;amp;lt;ParentName&amp;amp;gt;pqxijx2p.xfp&amp;amp;lt;/'"</definedName>
    <definedName name="_AMO_ContentDefinition_389096776" hidden="1">"'Partitions:14'"</definedName>
    <definedName name="_AMO_ContentDefinition_389096776.0" hidden="1">"'&lt;ContentDefinition name=""sasCCW:/sas/vrdc/users/kow236/files/dua_050019/Vermont_ACO/VT AIPBP Development/PlanB/Data/aipbprpt/MonitoringReport/tab1_stats.sas7bdat"" rsid=""389096776"" type=""DataSet"" format=""ReportXml"" imgfmt=""ActiveX"" created=""'"</definedName>
    <definedName name="_AMO_ContentDefinition_389096776.1" hidden="1">"'06/10/2019 13:54:02"" modifed=""06/20/2019 08:42:45"" user=""Katherine Owen"" apply=""False"" css=""D:\Program Files\SASHome\SASAddinforMicrosoftOffice\7.1\Styles\AMODefault.css"" range=""sasCCW__sas_vrdc_users_kow236_files_dua_050019_Vermont_ACO_VT_A'"</definedName>
    <definedName name="_AMO_ContentDefinition_389096776.10" hidden="1">"'&amp;amp;lt;Delimiter&amp;amp;gt;\&amp;amp;lt;/Delimiter&amp;amp;gt;&amp;amp;#xD;&amp;amp;#xA;  &amp;amp;lt;FullPath&amp;amp;gt;C:\Users\KOW236\AppData\Local\Temp\3\pqxijx2p.xfp\81c8bbb92d244a12bad09ab03248bdf7.sas7bdat&amp;amp;lt;/FullPath&amp;amp;gt;&amp;amp;#xD;&amp;amp;#xA;  &amp;amp;lt;RelativePat'"</definedName>
    <definedName name="_AMO_ContentDefinition_389096776.11" hidden="1">"'h&amp;amp;gt;C:\Users\KOW236\AppData\Local\Temp\3\pqxijx2p.xfp\81c8bbb92d244a12bad09ab03248bdf7.sas7bdat&amp;amp;lt;/RelativePath&amp;amp;gt;&amp;amp;#xD;&amp;amp;#xA;&amp;amp;lt;/DNA&amp;amp;gt;&amp;quot; Name=&amp;quot;C:\Users\KOW236\AppData\Local\Temp\3\pqxijx2p.xfp\81c8bbb92d244a12'"</definedName>
    <definedName name="_AMO_ContentDefinition_389096776.12" hidden="1">"'bad09ab03248bdf7.sas7bdat&amp;quot; /&amp;gt;"" /&gt;_x000D_
  &lt;param n=""ExcelTableColumnCount"" v=""11"" /&gt;_x000D_
  &lt;param n=""ExcelTableRowCount"" v=""4"" /&gt;_x000D_
  &lt;param n=""DataRowCount"" v=""4"" /&gt;_x000D_
  &lt;param n=""DataColCount"" v=""10"" /&gt;_x000D_
  &lt;param n=""ObsColumn"" v=""'"</definedName>
    <definedName name="_AMO_ContentDefinition_389096776.13" hidden="1">"'true"" /&gt;_x000D_
  &lt;param n=""ExcelFormattingHash"" v=""-1287740278"" /&gt;_x000D_
  &lt;param n=""ExcelFormatting"" v=""Automatic"" /&gt;_x000D_
  &lt;ExcelXMLOptions AdjColWidths=""True"" RowOpt=""InsertCells"" ColOpt=""InsertCells"" /&gt;_x000D_
&lt;/ContentDefinition&gt;'"</definedName>
    <definedName name="_AMO_ContentDefinition_389096776.2" hidden="1">"'IPBP_Development_PlanB_Data_aipbprpt_MonitoringReport_tab1_stats_sas7bdat"" auto=""False"" xTime=""00:00:00.0039064"" rTime=""00:00:00.1855540"" bgnew=""False"" nFmt=""False"" grphSet=""True"" imgY=""0"" imgX=""0"" redirect=""False""&gt;_x000D_
  &lt;files /&gt;_x000D_
  '"</definedName>
    <definedName name="_AMO_ContentDefinition_389096776.3" hidden="1">"'&lt;parents /&gt;_x000D_
  &lt;children /&gt;_x000D_
  &lt;param n=""AMO_Version"" v=""7.1"" /&gt;_x000D_
  &lt;param n=""DisplayName"" v=""sasCCW:/sas/vrdc/users/kow236/files/dua_050019/Vermont_ACO/VT AIPBP Development/PlanB/Data/aipbprpt/MonitoringReport/tab1_stats.sas7bdat"" /&gt;_x000D_
  &lt;par'"</definedName>
    <definedName name="_AMO_ContentDefinition_389096776.4" hidden="1">"'am n=""DisplayType"" v=""Data Set"" /&gt;_x000D_
  &lt;param n=""DataSourceType"" v=""SAS DATASET"" /&gt;_x000D_
  &lt;param n=""SASFilter"" v="""" /&gt;_x000D_
  &lt;param n=""MoreSheetsForRows"" v=""True"" /&gt;_x000D_
  &lt;param n=""PageSize"" v=""200000"" /&gt;_x000D_
  &lt;param n=""ShowRowNumbers"" v'"</definedName>
    <definedName name="_AMO_ContentDefinition_389096776.5" hidden="1">"'=""True"" /&gt;_x000D_
  &lt;param n=""ShowInfoInSheet"" v=""False"" /&gt;_x000D_
  &lt;param n=""CredKey"" v=""C:\Users\KOW236\AppData\Local\Temp\3\pqxijx2p.xfp\81c8bbb92d244a12bad09ab03248bdf7.sas7bdat"" /&gt;_x000D_
  &lt;param n=""ClassName"" v=""SAS.OfficeAddin.DataViewItem"" /&gt;_x000D_
'"</definedName>
    <definedName name="_AMO_ContentDefinition_389096776.6" hidden="1">"'  &lt;param n=""ServerName"" v=""sasCCW"" /&gt;_x000D_
  &lt;param n=""DataSource"" v=""&amp;lt;SasDataSource Version=&amp;quot;4.2&amp;quot; Type=&amp;quot;SAS.Servers.Dataset&amp;quot; Svr=&amp;quot;sasCCW&amp;quot; SvrFile=&amp;quot;/sas/vrdc/users/kow236/files/dua_050019/Vermont_ACO/VT AIPBP D'"</definedName>
    <definedName name="_AMO_ContentDefinition_389096776.7" hidden="1">"'evelopment/PlanB/Data/aipbprpt/MonitoringReport/tab1_stats.sas7bdat&amp;quot; FilterDS=&amp;quot;&amp;amp;lt;?xml version=&amp;amp;quot;1.0&amp;amp;quot; encoding=&amp;amp;quot;utf-16&amp;amp;quot;?&amp;amp;gt;&amp;amp;lt;FilterTree&amp;amp;gt;&amp;amp;lt;TreeRoot /&amp;amp;gt;&amp;amp;lt;/FilterTree&amp;a'"</definedName>
    <definedName name="_AMO_ContentDefinition_389096776.8" hidden="1">"'mp;gt;&amp;quot; ColSelFlg=&amp;quot;0&amp;quot; DNA=&amp;quot;&amp;amp;lt;DNA&amp;amp;gt;&amp;amp;#xD;&amp;amp;#xA;  &amp;amp;lt;Type&amp;amp;gt;LocalFile&amp;amp;lt;/Type&amp;amp;gt;&amp;amp;#xD;&amp;amp;#xA;  &amp;amp;lt;Name&amp;amp;gt;81c8bbb92d244a12bad09ab03248bdf7.sas7bdat&amp;amp;lt;/Name&amp;amp;gt;&amp;amp;#xD;&amp;amp'"</definedName>
    <definedName name="_AMO_ContentDefinition_389096776.9" hidden="1">"';#xA;  &amp;amp;lt;Version&amp;amp;gt;1&amp;amp;lt;/Version&amp;amp;gt;&amp;amp;#xD;&amp;amp;#xA;  &amp;amp;lt;Assembly /&amp;amp;gt;&amp;amp;#xD;&amp;amp;#xA;  &amp;amp;lt;Factory /&amp;amp;gt;&amp;amp;#xD;&amp;amp;#xA;  &amp;amp;lt;ParentName&amp;amp;gt;pqxijx2p.xfp&amp;amp;lt;/ParentName&amp;amp;gt;&amp;amp;#xD;&amp;amp;#xA;  '"</definedName>
    <definedName name="_AMO_ContentDefinition_487264780" hidden="1">"'Partitions:14'"</definedName>
    <definedName name="_AMO_ContentDefinition_487264780.0" hidden="1">"'&lt;ContentDefinition name=""sasCCW:/sas/vrdc/users/kow236/files/dua_050019/Vermont_ACO/VT AIPBP Development/PlanB/Data/aipbprpt/MonitoringReport/tab6_cos_sum.sas7bdat"" rsid=""487264780"" type=""DataSet"" format=""ReportXml"" imgfmt=""ActiveX"" created'"</definedName>
    <definedName name="_AMO_ContentDefinition_487264780.1" hidden="1">"'=""06/12/2019 12:42:38"" modifed=""06/20/2019 09:06:53"" user=""Katherine Owen"" apply=""False"" css=""D:\Program Files\SASHome\SASAddinforMicrosoftOffice\7.1\Styles\AMODefault.css"" range=""sasCCW__sas_vrdc_users_kow236_files_dua_050019_Vermont_ACO_V'"</definedName>
    <definedName name="_AMO_ContentDefinition_487264780.10" hidden="1">"';#xA;  &amp;amp;lt;Delimiter&amp;amp;gt;\&amp;amp;lt;/Delimiter&amp;amp;gt;&amp;amp;#xD;&amp;amp;#xA;  &amp;amp;lt;FullPath&amp;amp;gt;C:\Users\KOW236\AppData\Local\Temp\3\pqxijx2p.xfp\fb9ae51b7b884e0ea4d1a185bf6a44eb.sas7bdat&amp;amp;lt;/FullPath&amp;amp;gt;&amp;amp;#xD;&amp;amp;#xA;  &amp;amp;lt;Rela'"</definedName>
    <definedName name="_AMO_ContentDefinition_487264780.11" hidden="1">"'tivePath&amp;amp;gt;C:\Users\KOW236\AppData\Local\Temp\3\pqxijx2p.xfp\fb9ae51b7b884e0ea4d1a185bf6a44eb.sas7bdat&amp;amp;lt;/RelativePath&amp;amp;gt;&amp;amp;#xD;&amp;amp;#xA;&amp;amp;lt;/DNA&amp;amp;gt;&amp;quot; Name=&amp;quot;C:\Users\KOW236\AppData\Local\Temp\3\pqxijx2p.xfp\fb9ae51b7'"</definedName>
    <definedName name="_AMO_ContentDefinition_487264780.12" hidden="1">"'b884e0ea4d1a185bf6a44eb.sas7bdat&amp;quot; /&amp;gt;"" /&gt;_x000D_
  &lt;param n=""ExcelTableColumnCount"" v=""8"" /&gt;_x000D_
  &lt;param n=""ExcelTableRowCount"" v=""12"" /&gt;_x000D_
  &lt;param n=""DataRowCount"" v=""12"" /&gt;_x000D_
  &lt;param n=""DataColCount"" v=""7"" /&gt;_x000D_
  &lt;param n=""ObsColu'"</definedName>
    <definedName name="_AMO_ContentDefinition_487264780.13" hidden="1">"'mn"" v=""true"" /&gt;_x000D_
  &lt;param n=""ExcelFormattingHash"" v=""664667454"" /&gt;_x000D_
  &lt;param n=""ExcelFormatting"" v=""Automatic"" /&gt;_x000D_
  &lt;ExcelXMLOptions AdjColWidths=""True"" RowOpt=""InsertCells"" ColOpt=""InsertCells"" /&gt;_x000D_
&lt;/ContentDefinition&gt;'"</definedName>
    <definedName name="_AMO_ContentDefinition_487264780.2" hidden="1">"'T_AIPBP_Development_PlanB_Data_aipbprpt_MonitoringReport_tab6_cos_sum_sas7bdat"" auto=""False"" xTime=""00:00:00.0078128"" rTime=""00:00:00.1777412"" bgnew=""False"" nFmt=""False"" grphSet=""True"" imgY=""0"" imgX=""0"" redirect=""False""&gt;_x000D_
  &lt;files /'"</definedName>
    <definedName name="_AMO_ContentDefinition_487264780.3" hidden="1">"'&gt;_x000D_
  &lt;parents /&gt;_x000D_
  &lt;children /&gt;_x000D_
  &lt;param n=""AMO_Version"" v=""7.1"" /&gt;_x000D_
  &lt;param n=""DisplayName"" v=""sasCCW:/sas/vrdc/users/kow236/files/dua_050019/Vermont_ACO/VT AIPBP Development/PlanB/Data/aipbprpt/MonitoringReport/tab6_cos_sum.sas7bdat"" /&gt;_x000D_
'"</definedName>
    <definedName name="_AMO_ContentDefinition_487264780.4" hidden="1">"'  &lt;param n=""DisplayType"" v=""Data Set"" /&gt;_x000D_
  &lt;param n=""DataSourceType"" v=""SAS DATASET"" /&gt;_x000D_
  &lt;param n=""SASFilter"" v="""" /&gt;_x000D_
  &lt;param n=""MoreSheetsForRows"" v=""True"" /&gt;_x000D_
  &lt;param n=""PageSize"" v=""200000"" /&gt;_x000D_
  &lt;param n=""ShowRowNumbe'"</definedName>
    <definedName name="_AMO_ContentDefinition_487264780.5" hidden="1">"'rs"" v=""True"" /&gt;_x000D_
  &lt;param n=""ShowInfoInSheet"" v=""False"" /&gt;_x000D_
  &lt;param n=""CredKey"" v=""C:\Users\KOW236\AppData\Local\Temp\3\pqxijx2p.xfp\fb9ae51b7b884e0ea4d1a185bf6a44eb.sas7bdat"" /&gt;_x000D_
  &lt;param n=""ClassName"" v=""SAS.OfficeAddin.DataViewItem""'"</definedName>
    <definedName name="_AMO_ContentDefinition_487264780.6" hidden="1">"' /&gt;_x000D_
  &lt;param n=""ServerName"" v=""sasCCW"" /&gt;_x000D_
  &lt;param n=""DataSource"" v=""&amp;lt;SasDataSource Version=&amp;quot;4.2&amp;quot; Type=&amp;quot;SAS.Servers.Dataset&amp;quot; Svr=&amp;quot;sasCCW&amp;quot; SvrFile=&amp;quot;/sas/vrdc/users/kow236/files/dua_050019/Vermont_ACO/VT AI'"</definedName>
    <definedName name="_AMO_ContentDefinition_487264780.7" hidden="1">"'PBP Development/PlanB/Data/aipbprpt/MonitoringReport/tab6_cos_sum.sas7bdat&amp;quot; FilterDS=&amp;quot;&amp;amp;lt;?xml version=&amp;amp;quot;1.0&amp;amp;quot; encoding=&amp;amp;quot;utf-16&amp;amp;quot;?&amp;amp;gt;&amp;amp;lt;FilterTree&amp;amp;gt;&amp;amp;lt;TreeRoot /&amp;amp;gt;&amp;amp;lt;/Filte'"</definedName>
    <definedName name="_AMO_ContentDefinition_487264780.8" hidden="1">"'rTree&amp;amp;gt;&amp;quot; ColSelFlg=&amp;quot;0&amp;quot; DNA=&amp;quot;&amp;amp;lt;DNA&amp;amp;gt;&amp;amp;#xD;&amp;amp;#xA;  &amp;amp;lt;Type&amp;amp;gt;LocalFile&amp;amp;lt;/Type&amp;amp;gt;&amp;amp;#xD;&amp;amp;#xA;  &amp;amp;lt;Name&amp;amp;gt;fb9ae51b7b884e0ea4d1a185bf6a44eb.sas7bdat&amp;amp;lt;/Name&amp;amp;gt;&amp;amp;#'"</definedName>
    <definedName name="_AMO_ContentDefinition_487264780.9" hidden="1">"'xD;&amp;amp;#xA;  &amp;amp;lt;Version&amp;amp;gt;1&amp;amp;lt;/Version&amp;amp;gt;&amp;amp;#xD;&amp;amp;#xA;  &amp;amp;lt;Assembly /&amp;amp;gt;&amp;amp;#xD;&amp;amp;#xA;  &amp;amp;lt;Factory /&amp;amp;gt;&amp;amp;#xD;&amp;amp;#xA;  &amp;amp;lt;ParentName&amp;amp;gt;pqxijx2p.xfp&amp;amp;lt;/ParentName&amp;amp;gt;&amp;amp;#xD;&amp;amp'"</definedName>
    <definedName name="_AMO_ContentDefinition_637468743" hidden="1">"'Partitions:14'"</definedName>
    <definedName name="_AMO_ContentDefinition_637468743.0" hidden="1">"'&lt;ContentDefinition name=""sasCCW:/sas/vrdc/users/kow236/files/dua_050019/Vermont_ACO/VT AIPBP Development/PlanB/Data/aipbprpt/MonitoringReport/tab9_pbp_lag.sas7bdat"" rsid=""637468743"" type=""DataSet"" format=""ReportXml"" imgfmt=""ActiveX"" created'"</definedName>
    <definedName name="_AMO_ContentDefinition_637468743.1" hidden="1">"'=""06/12/2019 13:34:04"" modifed=""06/20/2019 08:44:25"" user=""Katherine Owen"" apply=""False"" css=""D:\Program Files\SASHome\SASAddinforMicrosoftOffice\7.1\Styles\AMODefault.css"" range=""sasCCW__sas_vrdc_users_kow236_files_dua_050019_Vermont_ACO_V'"</definedName>
    <definedName name="_AMO_ContentDefinition_637468743.10" hidden="1">"';#xA;  &amp;amp;lt;Delimiter&amp;amp;gt;\&amp;amp;lt;/Delimiter&amp;amp;gt;&amp;amp;#xD;&amp;amp;#xA;  &amp;amp;lt;FullPath&amp;amp;gt;C:\Users\KOW236\AppData\Local\Temp\3\pqxijx2p.xfp\d25a8a4907d54b6aa1fa3ffe005402aa.sas7bdat&amp;amp;lt;/FullPath&amp;amp;gt;&amp;amp;#xD;&amp;amp;#xA;  &amp;amp;lt;Rela'"</definedName>
    <definedName name="_AMO_ContentDefinition_637468743.11" hidden="1">"'tivePath&amp;amp;gt;C:\Users\KOW236\AppData\Local\Temp\3\pqxijx2p.xfp\d25a8a4907d54b6aa1fa3ffe005402aa.sas7bdat&amp;amp;lt;/RelativePath&amp;amp;gt;&amp;amp;#xD;&amp;amp;#xA;&amp;amp;lt;/DNA&amp;amp;gt;&amp;quot; Name=&amp;quot;C:\Users\KOW236\AppData\Local\Temp\3\pqxijx2p.xfp\d25a8a490'"</definedName>
    <definedName name="_AMO_ContentDefinition_637468743.12" hidden="1">"'7d54b6aa1fa3ffe005402aa.sas7bdat&amp;quot; /&amp;gt;"" /&gt;_x000D_
  &lt;param n=""ExcelTableColumnCount"" v=""8"" /&gt;_x000D_
  &lt;param n=""ExcelTableRowCount"" v=""5"" /&gt;_x000D_
  &lt;param n=""DataRowCount"" v=""5"" /&gt;_x000D_
  &lt;param n=""DataColCount"" v=""7"" /&gt;_x000D_
  &lt;param n=""ObsColumn'"</definedName>
    <definedName name="_AMO_ContentDefinition_637468743.13" hidden="1">"'"" v=""true"" /&gt;_x000D_
  &lt;param n=""ExcelFormattingHash"" v=""404837971"" /&gt;_x000D_
  &lt;param n=""ExcelFormatting"" v=""Automatic"" /&gt;_x000D_
  &lt;ExcelXMLOptions AdjColWidths=""True"" RowOpt=""InsertCells"" ColOpt=""InsertCells"" /&gt;_x000D_
&lt;/ContentDefinition&gt;'"</definedName>
    <definedName name="_AMO_ContentDefinition_637468743.2" hidden="1">"'T_AIPBP_Development_PlanB_Data_aipbprpt_MonitoringReport_tab9_pbp_lag_sas7bdat"" auto=""False"" xTime=""00:00:00.0195320"" rTime=""00:00:00.1777412"" bgnew=""False"" nFmt=""False"" grphSet=""True"" imgY=""0"" imgX=""0"" redirect=""False""&gt;_x000D_
  &lt;files /'"</definedName>
    <definedName name="_AMO_ContentDefinition_637468743.3" hidden="1">"'&gt;_x000D_
  &lt;parents /&gt;_x000D_
  &lt;children /&gt;_x000D_
  &lt;param n=""AMO_Version"" v=""7.1"" /&gt;_x000D_
  &lt;param n=""DisplayName"" v=""sasCCW:/sas/vrdc/users/kow236/files/dua_050019/Vermont_ACO/VT AIPBP Development/PlanB/Data/aipbprpt/MonitoringReport/tab9_pbp_lag.sas7bdat"" /&gt;_x000D_
'"</definedName>
    <definedName name="_AMO_ContentDefinition_637468743.4" hidden="1">"'  &lt;param n=""DisplayType"" v=""Data Set"" /&gt;_x000D_
  &lt;param n=""DataSourceType"" v=""SAS DATASET"" /&gt;_x000D_
  &lt;param n=""SASFilter"" v="""" /&gt;_x000D_
  &lt;param n=""MoreSheetsForRows"" v=""True"" /&gt;_x000D_
  &lt;param n=""PageSize"" v=""200000"" /&gt;_x000D_
  &lt;param n=""ShowRowNumbe'"</definedName>
    <definedName name="_AMO_ContentDefinition_637468743.5" hidden="1">"'rs"" v=""True"" /&gt;_x000D_
  &lt;param n=""ShowInfoInSheet"" v=""False"" /&gt;_x000D_
  &lt;param n=""CredKey"" v=""C:\Users\KOW236\AppData\Local\Temp\3\pqxijx2p.xfp\d25a8a4907d54b6aa1fa3ffe005402aa.sas7bdat"" /&gt;_x000D_
  &lt;param n=""ClassName"" v=""SAS.OfficeAddin.DataViewItem""'"</definedName>
    <definedName name="_AMO_ContentDefinition_637468743.6" hidden="1">"' /&gt;_x000D_
  &lt;param n=""ServerName"" v=""sasCCW"" /&gt;_x000D_
  &lt;param n=""DataSource"" v=""&amp;lt;SasDataSource Version=&amp;quot;4.2&amp;quot; Type=&amp;quot;SAS.Servers.Dataset&amp;quot; Svr=&amp;quot;sasCCW&amp;quot; SvrFile=&amp;quot;/sas/vrdc/users/kow236/files/dua_050019/Vermont_ACO/VT AI'"</definedName>
    <definedName name="_AMO_ContentDefinition_637468743.7" hidden="1">"'PBP Development/PlanB/Data/aipbprpt/MonitoringReport/tab9_pbp_lag.sas7bdat&amp;quot; FilterDS=&amp;quot;&amp;amp;lt;?xml version=&amp;amp;quot;1.0&amp;amp;quot; encoding=&amp;amp;quot;utf-16&amp;amp;quot;?&amp;amp;gt;&amp;amp;lt;FilterTree&amp;amp;gt;&amp;amp;lt;TreeRoot /&amp;amp;gt;&amp;amp;lt;/Filte'"</definedName>
    <definedName name="_AMO_ContentDefinition_637468743.8" hidden="1">"'rTree&amp;amp;gt;&amp;quot; ColSelFlg=&amp;quot;0&amp;quot; DNA=&amp;quot;&amp;amp;lt;DNA&amp;amp;gt;&amp;amp;#xD;&amp;amp;#xA;  &amp;amp;lt;Type&amp;amp;gt;LocalFile&amp;amp;lt;/Type&amp;amp;gt;&amp;amp;#xD;&amp;amp;#xA;  &amp;amp;lt;Name&amp;amp;gt;d25a8a4907d54b6aa1fa3ffe005402aa.sas7bdat&amp;amp;lt;/Name&amp;amp;gt;&amp;amp;#'"</definedName>
    <definedName name="_AMO_ContentDefinition_637468743.9" hidden="1">"'xD;&amp;amp;#xA;  &amp;amp;lt;Version&amp;amp;gt;1&amp;amp;lt;/Version&amp;amp;gt;&amp;amp;#xD;&amp;amp;#xA;  &amp;amp;lt;Assembly /&amp;amp;gt;&amp;amp;#xD;&amp;amp;#xA;  &amp;amp;lt;Factory /&amp;amp;gt;&amp;amp;#xD;&amp;amp;#xA;  &amp;amp;lt;ParentName&amp;amp;gt;pqxijx2p.xfp&amp;amp;lt;/ParentName&amp;amp;gt;&amp;amp;#xD;&amp;amp'"</definedName>
    <definedName name="_AMO_ContentDefinition_744166049" hidden="1">"'Partitions:15'"</definedName>
    <definedName name="_AMO_ContentDefinition_744166049.0" hidden="1">"'&lt;ContentDefinition name=""sasCCW:/sas/vrdc/users/kow236/files/dua_050019/Vermont_ACO/VT AIPBP Development/PlanB/Data/aipbprpt/MonitoringReport/tab5_claim_type_aipbp_qtr.sas7bdat"" rsid=""744166049"" type=""DataSet"" format=""ReportXml"" imgfmt=""Acti'"</definedName>
    <definedName name="_AMO_ContentDefinition_744166049.1" hidden="1">"'veX"" created=""06/11/2019 13:55:28"" modifed=""06/20/2019 08:43:15"" user=""Katherine Owen"" apply=""False"" css=""D:\Program Files\SASHome\SASAddinforMicrosoftOffice\7.1\Styles\AMODefault.css"" range=""sasCCW__sas_vrdc_users_kow236_files_dua_050019_'"</definedName>
    <definedName name="_AMO_ContentDefinition_744166049.10" hidden="1">"'gt;pqxijx2p.xfp&amp;amp;lt;/ParentName&amp;amp;gt;&amp;amp;#xD;&amp;amp;#xA;  &amp;amp;lt;Delimiter&amp;amp;gt;\&amp;amp;lt;/Delimiter&amp;amp;gt;&amp;amp;#xD;&amp;amp;#xA;  &amp;amp;lt;FullPath&amp;amp;gt;C:\Users\KOW236\AppData\Local\Temp\3\pqxijx2p.xfp\15349010681e4837b07163ecc38ec99c.sas7bdat&amp;a'"</definedName>
    <definedName name="_AMO_ContentDefinition_744166049.11" hidden="1">"'mp;lt;/FullPath&amp;amp;gt;&amp;amp;#xD;&amp;amp;#xA;  &amp;amp;lt;RelativePath&amp;amp;gt;C:\Users\KOW236\AppData\Local\Temp\3\pqxijx2p.xfp\15349010681e4837b07163ecc38ec99c.sas7bdat&amp;amp;lt;/RelativePath&amp;amp;gt;&amp;amp;#xD;&amp;amp;#xA;&amp;amp;lt;/DNA&amp;amp;gt;&amp;quot; Name=&amp;quot;C:\U'"</definedName>
    <definedName name="_AMO_ContentDefinition_744166049.12" hidden="1">"'sers\KOW236\AppData\Local\Temp\3\pqxijx2p.xfp\15349010681e4837b07163ecc38ec99c.sas7bdat&amp;quot; /&amp;gt;"" /&gt;_x000D_
  &lt;param n=""ExcelTableColumnCount"" v=""7"" /&gt;_x000D_
  &lt;param n=""ExcelTableRowCount"" v=""10"" /&gt;_x000D_
  &lt;param n=""DataRowCount"" v=""10"" /&gt;_x000D_
  &lt;para'"</definedName>
    <definedName name="_AMO_ContentDefinition_744166049.13" hidden="1">"'m n=""DataColCount"" v=""6"" /&gt;_x000D_
  &lt;param n=""ObsColumn"" v=""true"" /&gt;_x000D_
  &lt;param n=""ExcelFormattingHash"" v=""-415992022"" /&gt;_x000D_
  &lt;param n=""ExcelFormatting"" v=""Automatic"" /&gt;_x000D_
  &lt;ExcelXMLOptions AdjColWidths=""True"" RowOpt=""InsertCells"" ColOp'"</definedName>
    <definedName name="_AMO_ContentDefinition_744166049.14" hidden="1">"'t=""InsertCells"" /&gt;_x000D_
&lt;/ContentDefinition&gt;'"</definedName>
    <definedName name="_AMO_ContentDefinition_744166049.2" hidden="1">"'Vermont_ACO_VT_AIPBP_Development_PlanB_Data_aipbprpt_MonitoringReport_tab5_claim_type_aipbp_qtr_sas7bdat"" auto=""False"" xTime=""00:00:00.0019532"" rTime=""00:00:00.1757880"" bgnew=""False"" nFmt=""False"" grphSet=""True"" imgY=""0"" imgX=""0"" red'"</definedName>
    <definedName name="_AMO_ContentDefinition_744166049.3" hidden="1">"'irect=""False""&gt;_x000D_
  &lt;files /&gt;_x000D_
  &lt;parents /&gt;_x000D_
  &lt;children /&gt;_x000D_
  &lt;param n=""AMO_Version"" v=""7.1"" /&gt;_x000D_
  &lt;param n=""DisplayName"" v=""sasCCW:/sas/vrdc/users/kow236/files/dua_050019/Vermont_ACO/VT AIPBP Development/PlanB/Data/aipbprpt/MonitoringReport/'"</definedName>
    <definedName name="_AMO_ContentDefinition_744166049.4" hidden="1">"'tab5_claim_type_aipbp_qtr.sas7bdat"" /&gt;_x000D_
  &lt;param n=""DisplayType"" v=""Data Set"" /&gt;_x000D_
  &lt;param n=""DataSourceType"" v=""SAS DATASET"" /&gt;_x000D_
  &lt;param n=""SASFilter"" v="""" /&gt;_x000D_
  &lt;param n=""MoreSheetsForRows"" v=""True"" /&gt;_x000D_
  &lt;param n=""PageSize"" v='"</definedName>
    <definedName name="_AMO_ContentDefinition_744166049.5" hidden="1">"'""200000"" /&gt;_x000D_
  &lt;param n=""ShowRowNumbers"" v=""True"" /&gt;_x000D_
  &lt;param n=""ShowInfoInSheet"" v=""False"" /&gt;_x000D_
  &lt;param n=""CredKey"" v=""C:\Users\KOW236\AppData\Local\Temp\3\pqxijx2p.xfp\15349010681e4837b07163ecc38ec99c.sas7bdat"" /&gt;_x000D_
  &lt;param n=""Clas'"</definedName>
    <definedName name="_AMO_ContentDefinition_744166049.6" hidden="1">"'sName"" v=""SAS.OfficeAddin.DataViewItem"" /&gt;_x000D_
  &lt;param n=""ServerName"" v=""sasCCW"" /&gt;_x000D_
  &lt;param n=""DataSource"" v=""&amp;lt;SasDataSource Version=&amp;quot;4.2&amp;quot; Type=&amp;quot;SAS.Servers.Dataset&amp;quot; Svr=&amp;quot;sasCCW&amp;quot; SvrFile=&amp;quot;/sas/vrdc/users'"</definedName>
    <definedName name="_AMO_ContentDefinition_744166049.7" hidden="1">"'/kow236/files/dua_050019/Vermont_ACO/VT AIPBP Development/PlanB/Data/aipbprpt/MonitoringReport/tab5_claim_type_aipbp_qtr.sas7bdat&amp;quot; FilterDS=&amp;quot;&amp;amp;lt;?xml version=&amp;amp;quot;1.0&amp;amp;quot; encoding=&amp;amp;quot;utf-16&amp;amp;quot;?&amp;amp;gt;&amp;amp;lt;Fil'"</definedName>
    <definedName name="_AMO_ContentDefinition_744166049.8" hidden="1">"'terTree&amp;amp;gt;&amp;amp;lt;TreeRoot /&amp;amp;gt;&amp;amp;lt;/FilterTree&amp;amp;gt;&amp;quot; ColSelFlg=&amp;quot;0&amp;quot; DNA=&amp;quot;&amp;amp;lt;DNA&amp;amp;gt;&amp;amp;#xD;&amp;amp;#xA;  &amp;amp;lt;Type&amp;amp;gt;LocalFile&amp;amp;lt;/Type&amp;amp;gt;&amp;amp;#xD;&amp;amp;#xA;  &amp;amp;lt;Name&amp;amp;gt;15349010681e4'"</definedName>
    <definedName name="_AMO_ContentDefinition_744166049.9" hidden="1">"'837b07163ecc38ec99c.sas7bdat&amp;amp;lt;/Name&amp;amp;gt;&amp;amp;#xD;&amp;amp;#xA;  &amp;amp;lt;Version&amp;amp;gt;1&amp;amp;lt;/Version&amp;amp;gt;&amp;amp;#xD;&amp;amp;#xA;  &amp;amp;lt;Assembly /&amp;amp;gt;&amp;amp;#xD;&amp;amp;#xA;  &amp;amp;lt;Factory /&amp;amp;gt;&amp;amp;#xD;&amp;amp;#xA;  &amp;amp;lt;ParentName&amp;amp;'"</definedName>
    <definedName name="_AMO_ContentDefinition_759497851" hidden="1">"'Partitions:15'"</definedName>
    <definedName name="_AMO_ContentDefinition_759497851.0" hidden="1">"'&lt;ContentDefinition name=""sasCCW:/sas/vrdc/users/kow236/files/dua_050019/Vermont_ACO/VT AIPBP Development/PlanB/Data/aipbprpt/MonitoringReport/tab4_absumbymqy_wide.sas7bdat"" rsid=""759497851"" type=""DataSet"" format=""ReportXml"" imgfmt=""ActiveX""'"</definedName>
    <definedName name="_AMO_ContentDefinition_759497851.1" hidden="1">"' created=""06/19/2019 13:40:39"" modifed=""06/20/2019 09:07:50"" user=""Katherine Owen"" apply=""False"" css=""D:\Program Files\SASHome\SASAddinforMicrosoftOffice\7.1\Styles\AMODefault.css"" range=""sasCCW__sas_vrdc_users_kow236_files_dua_050019_Vermo'"</definedName>
    <definedName name="_AMO_ContentDefinition_759497851.10" hidden="1">"'ParentName&amp;amp;gt;&amp;amp;#xD;&amp;amp;#xA;  &amp;amp;lt;Delimiter&amp;amp;gt;\&amp;amp;lt;/Delimiter&amp;amp;gt;&amp;amp;#xD;&amp;amp;#xA;  &amp;amp;lt;FullPath&amp;amp;gt;C:\Users\KOW236\AppData\Local\Temp\3\pqxijx2p.xfp\334d7e0afddb47ae992526f6adf52daf.sas7bdat&amp;amp;lt;/FullPath&amp;amp;gt;&amp;'"</definedName>
    <definedName name="_AMO_ContentDefinition_759497851.11" hidden="1">"'amp;#xD;&amp;amp;#xA;  &amp;amp;lt;RelativePath&amp;amp;gt;C:\Users\KOW236\AppData\Local\Temp\3\pqxijx2p.xfp\334d7e0afddb47ae992526f6adf52daf.sas7bdat&amp;amp;lt;/RelativePath&amp;amp;gt;&amp;amp;#xD;&amp;amp;#xA;&amp;amp;lt;/DNA&amp;amp;gt;&amp;quot; Name=&amp;quot;C:\Users\KOW236\AppData\Loca'"</definedName>
    <definedName name="_AMO_ContentDefinition_759497851.12" hidden="1">"'l\Temp\3\pqxijx2p.xfp\334d7e0afddb47ae992526f6adf52daf.sas7bdat&amp;quot; /&amp;gt;"" /&gt;_x000D_
  &lt;param n=""ExcelTableColumnCount"" v=""8"" /&gt;_x000D_
  &lt;param n=""ExcelTableRowCount"" v=""144"" /&gt;_x000D_
  &lt;param n=""DataRowCount"" v=""144"" /&gt;_x000D_
  &lt;param n=""DataColCount"" '"</definedName>
    <definedName name="_AMO_ContentDefinition_759497851.13" hidden="1">"'v=""7"" /&gt;_x000D_
  &lt;param n=""ObsColumn"" v=""true"" /&gt;_x000D_
  &lt;param n=""ExcelFormattingHash"" v=""973921323"" /&gt;_x000D_
  &lt;param n=""ExcelFormatting"" v=""Automatic"" /&gt;_x000D_
  &lt;ExcelXMLOptions AdjColWidths=""True"" RowOpt=""InsertCells"" ColOpt=""InsertCells"" /&gt;_x000D_
'"</definedName>
    <definedName name="_AMO_ContentDefinition_759497851.14" hidden="1">"'&lt;/ContentDefinition&gt;'"</definedName>
    <definedName name="_AMO_ContentDefinition_759497851.2" hidden="1">"'nt_ACO_VT_AIPBP_Development_PlanB_Data_aipbprpt_MonitoringReport_tab4_absumbymqy_wide_sas7bdat"" auto=""False"" xTime=""00:00:00.0019532"" rTime=""00:00:00.1914136"" bgnew=""False"" nFmt=""False"" grphSet=""True"" imgY=""0"" imgX=""0"" redirect=""Fal'"</definedName>
    <definedName name="_AMO_ContentDefinition_759497851.3" hidden="1">"'se""&gt;_x000D_
  &lt;files /&gt;_x000D_
  &lt;parents /&gt;_x000D_
  &lt;children /&gt;_x000D_
  &lt;param n=""AMO_Version"" v=""7.1"" /&gt;_x000D_
  &lt;param n=""DisplayName"" v=""sasCCW:/sas/vrdc/users/kow236/files/dua_050019/Vermont_ACO/VT AIPBP Development/PlanB/Data/aipbprpt/MonitoringReport/tab4_absumb'"</definedName>
    <definedName name="_AMO_ContentDefinition_759497851.4" hidden="1">"'ymqy_wide.sas7bdat"" /&gt;_x000D_
  &lt;param n=""DisplayType"" v=""Data Set"" /&gt;_x000D_
  &lt;param n=""DataSourceType"" v=""SAS DATASET"" /&gt;_x000D_
  &lt;param n=""SASFilter"" v="""" /&gt;_x000D_
  &lt;param n=""MoreSheetsForRows"" v=""True"" /&gt;_x000D_
  &lt;param n=""PageSize"" v=""200000"" /&gt;_x000D_
  '"</definedName>
    <definedName name="_AMO_ContentDefinition_759497851.5" hidden="1">"'&lt;param n=""ShowRowNumbers"" v=""True"" /&gt;_x000D_
  &lt;param n=""ShowInfoInSheet"" v=""False"" /&gt;_x000D_
  &lt;param n=""CredKey"" v=""C:\Users\KOW236\AppData\Local\Temp\3\pqxijx2p.xfp\334d7e0afddb47ae992526f6adf52daf.sas7bdat"" /&gt;_x000D_
  &lt;param n=""ClassName"" v=""SAS.Off'"</definedName>
    <definedName name="_AMO_ContentDefinition_759497851.6" hidden="1">"'iceAddin.DataViewItem"" /&gt;_x000D_
  &lt;param n=""ServerName"" v=""sasCCW"" /&gt;_x000D_
  &lt;param n=""DataSource"" v=""&amp;lt;SasDataSource Version=&amp;quot;4.2&amp;quot; Type=&amp;quot;SAS.Servers.Dataset&amp;quot; Svr=&amp;quot;sasCCW&amp;quot; SvrFile=&amp;quot;/sas/vrdc/users/kow236/files/dua_0'"</definedName>
    <definedName name="_AMO_ContentDefinition_759497851.7" hidden="1">"'50019/Vermont_ACO/VT AIPBP Development/PlanB/Data/aipbprpt/MonitoringReport/tab4_absumbymqy_wide.sas7bdat&amp;quot; FilterDS=&amp;quot;&amp;amp;lt;?xml version=&amp;amp;quot;1.0&amp;amp;quot; encoding=&amp;amp;quot;utf-16&amp;amp;quot;?&amp;amp;gt;&amp;amp;lt;FilterTree&amp;amp;gt;&amp;amp;lt;T'"</definedName>
    <definedName name="_AMO_ContentDefinition_759497851.8" hidden="1">"'reeRoot /&amp;amp;gt;&amp;amp;lt;/FilterTree&amp;amp;gt;&amp;quot; ColSelFlg=&amp;quot;0&amp;quot; DNA=&amp;quot;&amp;amp;lt;DNA&amp;amp;gt;&amp;amp;#xD;&amp;amp;#xA;  &amp;amp;lt;Type&amp;amp;gt;LocalFile&amp;amp;lt;/Type&amp;amp;gt;&amp;amp;#xD;&amp;amp;#xA;  &amp;amp;lt;Name&amp;amp;gt;334d7e0afddb47ae992526f6adf52daf.sas7'"</definedName>
    <definedName name="_AMO_ContentDefinition_759497851.9" hidden="1">"'bdat&amp;amp;lt;/Name&amp;amp;gt;&amp;amp;#xD;&amp;amp;#xA;  &amp;amp;lt;Version&amp;amp;gt;1&amp;amp;lt;/Version&amp;amp;gt;&amp;amp;#xD;&amp;amp;#xA;  &amp;amp;lt;Assembly /&amp;amp;gt;&amp;amp;#xD;&amp;amp;#xA;  &amp;amp;lt;Factory /&amp;amp;gt;&amp;amp;#xD;&amp;amp;#xA;  &amp;amp;lt;ParentName&amp;amp;gt;pqxijx2p.xfp&amp;amp;lt;/'"</definedName>
    <definedName name="_AMO_ContentDefinition_973596276" hidden="1">"'Partitions:14'"</definedName>
    <definedName name="_AMO_ContentDefinition_973596276.0" hidden="1">"'&lt;ContentDefinition name=""sasCCW:/sas/vrdc/users/kow236/files/dua_050019/Vermont_ACO/VT AIPBP Development/PlanB/Data/aipbprpt/MonitoringReport/tab8_claim_lag.sas7bdat"" rsid=""973596276"" type=""DataSet"" format=""ReportXml"" imgfmt=""ActiveX"" creat'"</definedName>
    <definedName name="_AMO_ContentDefinition_973596276.1" hidden="1">"'ed=""06/12/2019 12:50:20"" modifed=""06/20/2019 08:56:28"" user=""Katherine Owen"" apply=""False"" css=""D:\Program Files\SASHome\SASAddinforMicrosoftOffice\7.1\Styles\AMODefault.css"" range=""sasCCW__sas_vrdc_users_kow236_files_dua_050019_Vermont_ACO'"</definedName>
    <definedName name="_AMO_ContentDefinition_973596276.10" hidden="1">"'p;#xD;&amp;amp;#xA;  &amp;amp;lt;Delimiter&amp;amp;gt;\&amp;amp;lt;/Delimiter&amp;amp;gt;&amp;amp;#xD;&amp;amp;#xA;  &amp;amp;lt;FullPath&amp;amp;gt;C:\Users\KOW236\AppData\Local\Temp\3\pqxijx2p.xfp\09251802a60d43ccafc7ed4524d7a1a2.sas7bdat&amp;amp;lt;/FullPath&amp;amp;gt;&amp;amp;#xD;&amp;amp;#xA;  &amp;a'"</definedName>
    <definedName name="_AMO_ContentDefinition_973596276.11" hidden="1">"'mp;lt;RelativePath&amp;amp;gt;C:\Users\KOW236\AppData\Local\Temp\3\pqxijx2p.xfp\09251802a60d43ccafc7ed4524d7a1a2.sas7bdat&amp;amp;lt;/RelativePath&amp;amp;gt;&amp;amp;#xD;&amp;amp;#xA;&amp;amp;lt;/DNA&amp;amp;gt;&amp;quot; Name=&amp;quot;C:\Users\KOW236\AppData\Local\Temp\3\pqxijx2p.xfp'"</definedName>
    <definedName name="_AMO_ContentDefinition_973596276.12" hidden="1">"'\09251802a60d43ccafc7ed4524d7a1a2.sas7bdat&amp;quot; /&amp;gt;"" /&gt;_x000D_
  &lt;param n=""ExcelTableColumnCount"" v=""8"" /&gt;_x000D_
  &lt;param n=""ExcelTableRowCount"" v=""5"" /&gt;_x000D_
  &lt;param n=""DataRowCount"" v=""5"" /&gt;_x000D_
  &lt;param n=""DataColCount"" v=""7"" /&gt;_x000D_
  &lt;param n='"</definedName>
    <definedName name="_AMO_ContentDefinition_973596276.13" hidden="1">"'""ObsColumn"" v=""true"" /&gt;_x000D_
  &lt;param n=""ExcelFormattingHash"" v=""404837971"" /&gt;_x000D_
  &lt;param n=""ExcelFormatting"" v=""Automatic"" /&gt;_x000D_
  &lt;ExcelXMLOptions AdjColWidths=""True"" RowOpt=""InsertCells"" ColOpt=""InsertCells"" /&gt;_x000D_
&lt;/ContentDefinition&gt;'"</definedName>
    <definedName name="_AMO_ContentDefinition_973596276.2" hidden="1">"'_VT_AIPBP_Development_PlanB_Data_aipbprpt_MonitoringReport_tab8_claim_lag_sas7bdat"" auto=""False"" xTime=""00:00:00.0019532"" rTime=""00:00:00.1757880"" bgnew=""False"" nFmt=""False"" grphSet=""True"" imgY=""0"" imgX=""0"" redirect=""False""&gt;_x000D_
  &lt;fil'"</definedName>
    <definedName name="_AMO_ContentDefinition_973596276.3" hidden="1">"'es /&gt;_x000D_
  &lt;parents /&gt;_x000D_
  &lt;children /&gt;_x000D_
  &lt;param n=""AMO_Version"" v=""7.1"" /&gt;_x000D_
  &lt;param n=""DisplayName"" v=""sasCCW:/sas/vrdc/users/kow236/files/dua_050019/Vermont_ACO/VT AIPBP Development/PlanB/Data/aipbprpt/MonitoringReport/tab8_claim_lag.sas7bdat'"</definedName>
    <definedName name="_AMO_ContentDefinition_973596276.4" hidden="1">"'"" /&gt;_x000D_
  &lt;param n=""DisplayType"" v=""Data Set"" /&gt;_x000D_
  &lt;param n=""DataSourceType"" v=""SAS DATASET"" /&gt;_x000D_
  &lt;param n=""SASFilter"" v="""" /&gt;_x000D_
  &lt;param n=""MoreSheetsForRows"" v=""True"" /&gt;_x000D_
  &lt;param n=""PageSize"" v=""200000"" /&gt;_x000D_
  &lt;param n=""ShowR'"</definedName>
    <definedName name="_AMO_ContentDefinition_973596276.5" hidden="1">"'owNumbers"" v=""True"" /&gt;_x000D_
  &lt;param n=""ShowInfoInSheet"" v=""False"" /&gt;_x000D_
  &lt;param n=""CredKey"" v=""C:\Users\KOW236\AppData\Local\Temp\3\pqxijx2p.xfp\09251802a60d43ccafc7ed4524d7a1a2.sas7bdat"" /&gt;_x000D_
  &lt;param n=""ClassName"" v=""SAS.OfficeAddin.DataVi'"</definedName>
    <definedName name="_AMO_ContentDefinition_973596276.6" hidden="1">"'ewItem"" /&gt;_x000D_
  &lt;param n=""ServerName"" v=""sasCCW"" /&gt;_x000D_
  &lt;param n=""DataSource"" v=""&amp;lt;SasDataSource Version=&amp;quot;4.2&amp;quot; Type=&amp;quot;SAS.Servers.Dataset&amp;quot; Svr=&amp;quot;sasCCW&amp;quot; SvrFile=&amp;quot;/sas/vrdc/users/kow236/files/dua_050019/Vermont_A'"</definedName>
    <definedName name="_AMO_ContentDefinition_973596276.7" hidden="1">"'CO/VT AIPBP Development/PlanB/Data/aipbprpt/MonitoringReport/tab8_claim_lag.sas7bdat&amp;quot; FilterDS=&amp;quot;&amp;amp;lt;?xml version=&amp;amp;quot;1.0&amp;amp;quot; encoding=&amp;amp;quot;utf-16&amp;amp;quot;?&amp;amp;gt;&amp;amp;lt;FilterTree&amp;amp;gt;&amp;amp;lt;TreeRoot /&amp;amp;gt;&amp;amp'"</definedName>
    <definedName name="_AMO_ContentDefinition_973596276.8" hidden="1">"';lt;/FilterTree&amp;amp;gt;&amp;quot; ColSelFlg=&amp;quot;0&amp;quot; DNA=&amp;quot;&amp;amp;lt;DNA&amp;amp;gt;&amp;amp;#xD;&amp;amp;#xA;  &amp;amp;lt;Type&amp;amp;gt;LocalFile&amp;amp;lt;/Type&amp;amp;gt;&amp;amp;#xD;&amp;amp;#xA;  &amp;amp;lt;Name&amp;amp;gt;09251802a60d43ccafc7ed4524d7a1a2.sas7bdat&amp;amp;lt;/Name&amp;amp'"</definedName>
    <definedName name="_AMO_ContentDefinition_973596276.9" hidden="1">"';gt;&amp;amp;#xD;&amp;amp;#xA;  &amp;amp;lt;Version&amp;amp;gt;1&amp;amp;lt;/Version&amp;amp;gt;&amp;amp;#xD;&amp;amp;#xA;  &amp;amp;lt;Assembly /&amp;amp;gt;&amp;amp;#xD;&amp;amp;#xA;  &amp;amp;lt;Factory /&amp;amp;gt;&amp;amp;#xD;&amp;amp;#xA;  &amp;amp;lt;ParentName&amp;amp;gt;pqxijx2p.xfp&amp;amp;lt;/ParentName&amp;amp;gt;&amp;am'"</definedName>
    <definedName name="_AMO_ContentDefinition_990421490" hidden="1">"'Partitions:14'"</definedName>
    <definedName name="_AMO_ContentDefinition_990421490.0" hidden="1">"'&lt;ContentDefinition name=""sasCCW:/sas/vrdc/users/kow236/files/dua_050019/Vermont_ACO/VT AIPBP Development/PlanB/Data/aipbprpt/MonitoringReport/tab10_ineligbenes.sas7bdat"" rsid=""990421490"" type=""DataSet"" format=""ReportXml"" imgfmt=""ActiveX"" cr'"</definedName>
    <definedName name="_AMO_ContentDefinition_990421490.1" hidden="1">"'eated=""06/10/2019 14:01:20"" modifed=""06/20/2019 08:42:41"" user=""Katherine Owen"" apply=""False"" css=""D:\Program Files\SASHome\SASAddinforMicrosoftOffice\7.1\Styles\AMODefault.css"" range=""sasCCW__sas_vrdc_users_kow236_fi_2"" auto=""False"" xT'"</definedName>
    <definedName name="_AMO_ContentDefinition_990421490.10" hidden="1">"'FullPath&amp;amp;gt;C:\Users\KOW236\AppData\Local\Temp\3\pqxijx2p.xfp\c0c7f672b10d4246ba6859d6b62e249a.sas7bdat&amp;amp;lt;/FullPath&amp;amp;gt;&amp;amp;#xD;&amp;amp;#xA;  &amp;amp;lt;RelativePath&amp;amp;gt;C:\Users\KOW236\AppData\Local\Temp\3\pqxijx2p.xfp\c0c7f672b10d4246ba685'"</definedName>
    <definedName name="_AMO_ContentDefinition_990421490.11" hidden="1">"'9d6b62e249a.sas7bdat&amp;amp;lt;/RelativePath&amp;amp;gt;&amp;amp;#xD;&amp;amp;#xA;&amp;amp;lt;/DNA&amp;amp;gt;&amp;quot; Name=&amp;quot;C:\Users\KOW236\AppData\Local\Temp\3\pqxijx2p.xfp\c0c7f672b10d4246ba6859d6b62e249a.sas7bdat&amp;quot; /&amp;gt;"" /&gt;_x000D_
  &lt;param n=""ExcelTableColumnCount""'"</definedName>
    <definedName name="_AMO_ContentDefinition_990421490.12" hidden="1">"' v=""12"" /&gt;_x000D_
  &lt;param n=""ExcelTableRowCount"" v=""1"" /&gt;_x000D_
  &lt;param n=""DataRowCount"" v=""1"" /&gt;_x000D_
  &lt;param n=""DataColCount"" v=""11"" /&gt;_x000D_
  &lt;param n=""ObsColumn"" v=""true"" /&gt;_x000D_
  &lt;param n=""ExcelFormattingHash"" v=""1882366330"" /&gt;_x000D_
  &lt;param n='"</definedName>
    <definedName name="_AMO_ContentDefinition_990421490.13" hidden="1">"'""ExcelFormatting"" v=""Automatic"" /&gt;_x000D_
  &lt;ExcelXMLOptions AdjColWidths=""True"" RowOpt=""InsertCells"" ColOpt=""InsertCells"" /&gt;_x000D_
&lt;/ContentDefinition&gt;'"</definedName>
    <definedName name="_AMO_ContentDefinition_990421490.2" hidden="1">"'ime=""00:00:00.0039064"" rTime=""00:00:00.1796944"" bgnew=""False"" nFmt=""False"" grphSet=""True"" imgY=""0"" imgX=""0"" redirect=""False""&gt;_x000D_
  &lt;files /&gt;_x000D_
  &lt;parents /&gt;_x000D_
  &lt;children /&gt;_x000D_
  &lt;param n=""AMO_Version"" v=""7.1"" /&gt;_x000D_
  &lt;param n=""DisplayN'"</definedName>
    <definedName name="_AMO_ContentDefinition_990421490.3" hidden="1">"'ame"" v=""sasCCW:/sas/vrdc/users/kow236/files/dua_050019/Vermont_ACO/VT AIPBP Development/PlanB/Data/aipbprpt/MonitoringReport/tab10_ineligbenes.sas7bdat"" /&gt;_x000D_
  &lt;param n=""DisplayType"" v=""Data Set"" /&gt;_x000D_
  &lt;param n=""DataSourceType"" v=""SAS DATASE'"</definedName>
    <definedName name="_AMO_ContentDefinition_990421490.4" hidden="1">"'T"" /&gt;_x000D_
  &lt;param n=""SASFilter"" v="""" /&gt;_x000D_
  &lt;param n=""MoreSheetsForRows"" v=""True"" /&gt;_x000D_
  &lt;param n=""PageSize"" v=""200000"" /&gt;_x000D_
  &lt;param n=""ShowRowNumbers"" v=""True"" /&gt;_x000D_
  &lt;param n=""ShowInfoInSheet"" v=""False"" /&gt;_x000D_
  &lt;param n=""CredKey"" v='"</definedName>
    <definedName name="_AMO_ContentDefinition_990421490.5" hidden="1">"'""C:\Users\KOW236\AppData\Local\Temp\3\pqxijx2p.xfp\c0c7f672b10d4246ba6859d6b62e249a.sas7bdat"" /&gt;_x000D_
  &lt;param n=""ClassName"" v=""SAS.OfficeAddin.DataViewItem"" /&gt;_x000D_
  &lt;param n=""ServerName"" v=""sasCCW"" /&gt;_x000D_
  &lt;param n=""DataSource"" v=""&amp;lt;SasDataSou'"</definedName>
    <definedName name="_AMO_ContentDefinition_990421490.6" hidden="1">"'rce Version=&amp;quot;4.2&amp;quot; Type=&amp;quot;SAS.Servers.Dataset&amp;quot; Svr=&amp;quot;sasCCW&amp;quot; SvrFile=&amp;quot;/sas/vrdc/users/kow236/files/dua_050019/Vermont_ACO/VT AIPBP Development/PlanB/Data/aipbprpt/MonitoringReport/tab10_ineligbenes.sas7bdat&amp;quot; Filter'"</definedName>
    <definedName name="_AMO_ContentDefinition_990421490.7" hidden="1">"'DS=&amp;quot;&amp;amp;lt;?xml version=&amp;amp;quot;1.0&amp;amp;quot; encoding=&amp;amp;quot;utf-16&amp;amp;quot;?&amp;amp;gt;&amp;amp;lt;FilterTree&amp;amp;gt;&amp;amp;lt;TreeRoot /&amp;amp;gt;&amp;amp;lt;/FilterTree&amp;amp;gt;&amp;quot; ColSelFlg=&amp;quot;0&amp;quot; DNA=&amp;quot;&amp;amp;lt;DNA&amp;amp;gt;&amp;amp;#xD;&amp;amp;'"</definedName>
    <definedName name="_AMO_ContentDefinition_990421490.8" hidden="1">"'#xA;  &amp;amp;lt;Type&amp;amp;gt;LocalFile&amp;amp;lt;/Type&amp;amp;gt;&amp;amp;#xD;&amp;amp;#xA;  &amp;amp;lt;Name&amp;amp;gt;c0c7f672b10d4246ba6859d6b62e249a.sas7bdat&amp;amp;lt;/Name&amp;amp;gt;&amp;amp;#xD;&amp;amp;#xA;  &amp;amp;lt;Version&amp;amp;gt;1&amp;amp;lt;/Version&amp;amp;gt;&amp;amp;#xD;&amp;amp;#xA;  &amp;amp;'"</definedName>
    <definedName name="_AMO_ContentDefinition_990421490.9" hidden="1">"'lt;Assembly /&amp;amp;gt;&amp;amp;#xD;&amp;amp;#xA;  &amp;amp;lt;Factory /&amp;amp;gt;&amp;amp;#xD;&amp;amp;#xA;  &amp;amp;lt;ParentName&amp;amp;gt;pqxijx2p.xfp&amp;amp;lt;/ParentName&amp;amp;gt;&amp;amp;#xD;&amp;amp;#xA;  &amp;amp;lt;Delimiter&amp;amp;gt;\&amp;amp;lt;/Delimiter&amp;amp;gt;&amp;amp;#xD;&amp;amp;#xA;  &amp;amp;lt;'"</definedName>
    <definedName name="_AMO_ContentLocation_179285213__A1" hidden="1">"'Partitions:2'"</definedName>
    <definedName name="_AMO_ContentLocation_179285213__A1.0" hidden="1">"'&lt;ContentLocation path=""A1"" rsid=""179285213"" tag="""" fid=""0""&gt;_x000D_
  &lt;param n=""_NumRows"" v=""769"" /&gt;_x000D_
  &lt;param n=""_NumCols"" v=""6"" /&gt;_x000D_
  &lt;param n=""SASDataState"" v=""none"" /&gt;_x000D_
  &lt;param n=""SASDataStart"" v=""1"" /&gt;_x000D_
  &lt;param n=""SASDataEn'"</definedName>
    <definedName name="_AMO_ContentLocation_179285213__A1.1" hidden="1">"'d"" v=""768"" /&gt;_x000D_
&lt;/ContentLocation&gt;'"</definedName>
    <definedName name="_AMO_ContentLocation_389096776__A1" hidden="1">"'Partitions:2'"</definedName>
    <definedName name="_AMO_ContentLocation_389096776__A1.0" hidden="1">"'&lt;ContentLocation path=""A1"" rsid=""389096776"" tag="""" fid=""0""&gt;_x000D_
  &lt;param n=""_NumRows"" v=""5"" /&gt;_x000D_
  &lt;param n=""_NumCols"" v=""11"" /&gt;_x000D_
  &lt;param n=""SASDataState"" v=""none"" /&gt;_x000D_
  &lt;param n=""SASDataStart"" v=""1"" /&gt;_x000D_
  &lt;param n=""SASDataEnd'"</definedName>
    <definedName name="_AMO_ContentLocation_389096776__A1.1" hidden="1">"'"" v=""4"" /&gt;_x000D_
&lt;/ContentLocation&gt;'"</definedName>
    <definedName name="_AMO_ContentLocation_487264780__A1" hidden="1">"'Partitions:2'"</definedName>
    <definedName name="_AMO_ContentLocation_487264780__A1.0" hidden="1">"'&lt;ContentLocation path=""A1"" rsid=""487264780"" tag="""" fid=""0""&gt;_x000D_
  &lt;param n=""_NumRows"" v=""13"" /&gt;_x000D_
  &lt;param n=""_NumCols"" v=""8"" /&gt;_x000D_
  &lt;param n=""SASDataState"" v=""none"" /&gt;_x000D_
  &lt;param n=""SASDataStart"" v=""1"" /&gt;_x000D_
  &lt;param n=""SASDataEnd'"</definedName>
    <definedName name="_AMO_ContentLocation_487264780__A1.1" hidden="1">"'"" v=""12"" /&gt;_x000D_
&lt;/ContentLocation&gt;'"</definedName>
    <definedName name="_AMO_ContentLocation_637468743__A1" hidden="1">"'Partitions:2'"</definedName>
    <definedName name="_AMO_ContentLocation_637468743__A1.0" hidden="1">"'&lt;ContentLocation path=""A1"" rsid=""637468743"" tag="""" fid=""0""&gt;_x000D_
  &lt;param n=""_NumRows"" v=""6"" /&gt;_x000D_
  &lt;param n=""_NumCols"" v=""8"" /&gt;_x000D_
  &lt;param n=""SASDataState"" v=""none"" /&gt;_x000D_
  &lt;param n=""SASDataStart"" v=""1"" /&gt;_x000D_
  &lt;param n=""SASDataEnd""'"</definedName>
    <definedName name="_AMO_ContentLocation_637468743__A1.1" hidden="1">"' v=""5"" /&gt;_x000D_
&lt;/ContentLocation&gt;'"</definedName>
    <definedName name="_AMO_ContentLocation_744166049__A1" hidden="1">"'Partitions:2'"</definedName>
    <definedName name="_AMO_ContentLocation_744166049__A1.0" hidden="1">"'&lt;ContentLocation path=""A1"" rsid=""744166049"" tag="""" fid=""0""&gt;_x000D_
  &lt;param n=""_NumRows"" v=""11"" /&gt;_x000D_
  &lt;param n=""_NumCols"" v=""7"" /&gt;_x000D_
  &lt;param n=""SASDataState"" v=""none"" /&gt;_x000D_
  &lt;param n=""SASDataStart"" v=""1"" /&gt;_x000D_
  &lt;param n=""SASDataEnd'"</definedName>
    <definedName name="_AMO_ContentLocation_744166049__A1.1" hidden="1">"'"" v=""10"" /&gt;_x000D_
&lt;/ContentLocation&gt;'"</definedName>
    <definedName name="_AMO_ContentLocation_759497851__A1" hidden="1">"'Partitions:2'"</definedName>
    <definedName name="_AMO_ContentLocation_759497851__A1.0" hidden="1">"'&lt;ContentLocation path=""A1"" rsid=""759497851"" tag="""" fid=""0""&gt;_x000D_
  &lt;param n=""_NumRows"" v=""145"" /&gt;_x000D_
  &lt;param n=""_NumCols"" v=""8"" /&gt;_x000D_
  &lt;param n=""SASDataState"" v=""none"" /&gt;_x000D_
  &lt;param n=""SASDataStart"" v=""1"" /&gt;_x000D_
  &lt;param n=""SASDataEn'"</definedName>
    <definedName name="_AMO_ContentLocation_759497851__A1.1" hidden="1">"'d"" v=""144"" /&gt;_x000D_
&lt;/ContentLocation&gt;'"</definedName>
    <definedName name="_AMO_ContentLocation_973596276__A1" hidden="1">"'Partitions:2'"</definedName>
    <definedName name="_AMO_ContentLocation_973596276__A1.0" hidden="1">"'&lt;ContentLocation path=""A1"" rsid=""973596276"" tag="""" fid=""0""&gt;_x000D_
  &lt;param n=""_NumRows"" v=""6"" /&gt;_x000D_
  &lt;param n=""_NumCols"" v=""8"" /&gt;_x000D_
  &lt;param n=""SASDataState"" v=""none"" /&gt;_x000D_
  &lt;param n=""SASDataStart"" v=""1"" /&gt;_x000D_
  &lt;param n=""SASDataEnd""'"</definedName>
    <definedName name="_AMO_ContentLocation_973596276__A1.1" hidden="1">"' v=""5"" /&gt;_x000D_
&lt;/ContentLocation&gt;'"</definedName>
    <definedName name="_AMO_ContentLocation_990421490__A1" hidden="1">"'Partitions:2'"</definedName>
    <definedName name="_AMO_ContentLocation_990421490__A1.0" hidden="1">"'&lt;ContentLocation path=""A1"" rsid=""990421490"" tag="""" fid=""0""&gt;_x000D_
  &lt;param n=""_NumRows"" v=""2"" /&gt;_x000D_
  &lt;param n=""_NumCols"" v=""12"" /&gt;_x000D_
  &lt;param n=""SASDataState"" v=""none"" /&gt;_x000D_
  &lt;param n=""SASDataStart"" v=""1"" /&gt;_x000D_
  &lt;param n=""SASDataEnd'"</definedName>
    <definedName name="_AMO_ContentLocation_990421490__A1.1" hidden="1">"'"" v=""1"" /&gt;_x000D_
&lt;/ContentLocation&gt;'"</definedName>
    <definedName name="_AMO_SingleObject_179285213__A1" hidden="1">#REF!</definedName>
    <definedName name="_AMO_SingleObject_389096776__A1" hidden="1">#REF!</definedName>
    <definedName name="_AMO_SingleObject_487264780__A1" hidden="1">#REF!</definedName>
    <definedName name="_AMO_SingleObject_637468743__A1" hidden="1">#REF!</definedName>
    <definedName name="_AMO_SingleObject_69310992__A1" hidden="1">#REF!</definedName>
    <definedName name="_AMO_SingleObject_744166049__A1" hidden="1">#REF!</definedName>
    <definedName name="_AMO_SingleObject_759497851__A1" hidden="1">#REF!</definedName>
    <definedName name="_AMO_SingleObject_973596276__A1" hidden="1">#REF!</definedName>
    <definedName name="_AMO_SingleObject_990421490__A1" hidden="1">#REF!</definedName>
    <definedName name="_AMO_XmlVersion" hidden="1">"'1'"</definedName>
    <definedName name="_xlnm._FilterDatabase" localSheetId="1" hidden="1">'Payment Calculation Overview'!$B$7:$F$17</definedName>
    <definedName name="_xlnm._FilterDatabase" localSheetId="12" hidden="1">'Quality Results'!$C$7:$T$72</definedName>
    <definedName name="TitleRegion1.A3.B2983.1">#REF!</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37" l="1"/>
  <c r="L2" i="36"/>
  <c r="I33" i="3"/>
  <c r="I35" i="3"/>
  <c r="I39" i="3"/>
  <c r="I41" i="3"/>
  <c r="K102" i="3"/>
  <c r="I102" i="3"/>
  <c r="K27" i="31"/>
  <c r="K34" i="31"/>
  <c r="K41" i="31"/>
  <c r="K29" i="31"/>
  <c r="K36" i="31"/>
  <c r="K43" i="31"/>
  <c r="K31" i="31"/>
  <c r="K38" i="31"/>
  <c r="K45" i="31"/>
  <c r="K65" i="31"/>
  <c r="K48" i="1"/>
  <c r="K32" i="1"/>
  <c r="K38" i="1"/>
  <c r="K24" i="1"/>
  <c r="K42" i="1"/>
  <c r="K44" i="1"/>
  <c r="K49" i="1"/>
  <c r="K51" i="1"/>
  <c r="K55" i="30"/>
  <c r="K57" i="30"/>
  <c r="I43" i="30" a="1"/>
  <c r="I43" i="30"/>
  <c r="I45" i="30" a="1"/>
  <c r="I45" i="30"/>
  <c r="I47" i="30" a="1"/>
  <c r="I47" i="30"/>
  <c r="I49" i="30"/>
  <c r="K59" i="30"/>
  <c r="K61" i="30"/>
  <c r="L26" i="5"/>
  <c r="L18" i="5"/>
  <c r="L24" i="5"/>
  <c r="M24" i="5"/>
  <c r="I27" i="31"/>
  <c r="I34" i="31"/>
  <c r="I41" i="31"/>
  <c r="I29" i="31"/>
  <c r="I36" i="31"/>
  <c r="I43" i="31"/>
  <c r="I31" i="31"/>
  <c r="I38" i="31"/>
  <c r="I45" i="31"/>
  <c r="I65" i="31"/>
  <c r="I48" i="1"/>
  <c r="I32" i="1"/>
  <c r="I38" i="1"/>
  <c r="I24" i="1"/>
  <c r="I42" i="1"/>
  <c r="I44" i="1"/>
  <c r="I49" i="1"/>
  <c r="I51" i="1"/>
  <c r="I55" i="30"/>
  <c r="I57" i="30"/>
  <c r="I59" i="30"/>
  <c r="I61" i="30"/>
  <c r="I26" i="5"/>
  <c r="I18" i="5"/>
  <c r="I24" i="5"/>
  <c r="J24" i="5"/>
  <c r="L10" i="5"/>
  <c r="L16" i="5"/>
  <c r="M16" i="5"/>
  <c r="I10" i="5"/>
  <c r="I16" i="5"/>
  <c r="J16" i="5"/>
  <c r="I60" i="3"/>
  <c r="I51" i="3"/>
  <c r="L19" i="37" a="1"/>
  <c r="L19" i="37"/>
  <c r="K23" i="3"/>
  <c r="I19" i="3"/>
  <c r="K25" i="3"/>
  <c r="K100" i="3"/>
  <c r="I92" i="3"/>
  <c r="K108" i="3"/>
  <c r="I62" i="3"/>
  <c r="I65" i="3"/>
  <c r="I53" i="3"/>
  <c r="I55" i="3"/>
  <c r="I69" i="3"/>
  <c r="K106" i="3"/>
  <c r="I23" i="3"/>
  <c r="I25" i="3"/>
  <c r="I100" i="3"/>
  <c r="I108" i="3"/>
  <c r="I106" i="3"/>
  <c r="L20" i="37"/>
  <c r="C50" i="39"/>
  <c r="P20" i="37"/>
  <c r="G50" i="39"/>
  <c r="F50" i="39"/>
  <c r="E50" i="39"/>
  <c r="D50" i="39"/>
  <c r="D12" i="39"/>
  <c r="G24" i="39"/>
  <c r="F24" i="39"/>
  <c r="E24" i="39"/>
  <c r="D24" i="39"/>
  <c r="C24" i="39"/>
  <c r="V20" i="37"/>
  <c r="X20" i="37"/>
  <c r="Z20" i="37"/>
  <c r="K49" i="31"/>
  <c r="I49" i="31"/>
  <c r="I110" i="3"/>
  <c r="L29" i="5"/>
  <c r="I29" i="5"/>
  <c r="K26" i="1"/>
  <c r="I26" i="1"/>
  <c r="G45" i="30"/>
  <c r="G47" i="30"/>
  <c r="G39" i="30"/>
  <c r="G37" i="30"/>
  <c r="G30" i="30"/>
  <c r="G32" i="30"/>
  <c r="G43" i="30"/>
  <c r="G35" i="30"/>
  <c r="G28" i="30"/>
  <c r="I81" i="3"/>
  <c r="K110" i="3"/>
  <c r="L39" i="5"/>
  <c r="I39" i="5"/>
  <c r="L31" i="5"/>
  <c r="I31" i="5"/>
  <c r="L37" i="5"/>
  <c r="L35" i="5"/>
  <c r="I35" i="5"/>
  <c r="I37" i="5"/>
  <c r="L22" i="5"/>
  <c r="I22" i="5"/>
  <c r="I13" i="5"/>
  <c r="L20" i="5"/>
  <c r="L13" i="5"/>
  <c r="I20" i="5"/>
  <c r="L27" i="37" a="1"/>
  <c r="L27" i="37"/>
  <c r="G31" i="39"/>
  <c r="L29" i="37" a="1"/>
  <c r="L29" i="37"/>
  <c r="D33" i="39"/>
  <c r="L31" i="37" a="1"/>
  <c r="L31" i="37"/>
  <c r="E35" i="39"/>
  <c r="L33" i="37" a="1"/>
  <c r="L33" i="37"/>
  <c r="D37" i="39"/>
  <c r="L26" i="37" a="1"/>
  <c r="L26" i="37"/>
  <c r="D30" i="39"/>
  <c r="C20" i="39"/>
  <c r="H27" i="39" a="1"/>
  <c r="H27" i="39"/>
  <c r="P23" i="37"/>
  <c r="G23" i="39"/>
  <c r="F23" i="39"/>
  <c r="E23" i="39"/>
  <c r="C23" i="39"/>
  <c r="D23" i="39"/>
  <c r="L21" i="37" a="1"/>
  <c r="L21" i="37"/>
  <c r="L23" i="37" a="1"/>
  <c r="L23" i="37"/>
  <c r="L24" i="37" a="1"/>
  <c r="L24" i="37"/>
  <c r="H31" i="39" a="1"/>
  <c r="H31" i="39"/>
  <c r="P27" i="37"/>
  <c r="H33" i="39" a="1"/>
  <c r="H33" i="39"/>
  <c r="P29" i="37"/>
  <c r="H35" i="39" a="1"/>
  <c r="H35" i="39"/>
  <c r="P31" i="37"/>
  <c r="H37" i="39" a="1"/>
  <c r="H37" i="39"/>
  <c r="P33" i="37"/>
  <c r="H30" i="39" a="1"/>
  <c r="H30" i="39"/>
  <c r="P26" i="37"/>
  <c r="H25" i="39" a="1"/>
  <c r="H25" i="39"/>
  <c r="P21" i="37"/>
  <c r="L25" i="37" a="1"/>
  <c r="L25" i="37"/>
  <c r="L28" i="37" a="1"/>
  <c r="L28" i="37"/>
  <c r="L30" i="37" a="1"/>
  <c r="L30" i="37"/>
  <c r="L32" i="37" a="1"/>
  <c r="L32" i="37"/>
  <c r="L34" i="37" a="1"/>
  <c r="L34" i="37"/>
  <c r="H28" i="39" a="1"/>
  <c r="H28" i="39"/>
  <c r="P24" i="37"/>
  <c r="L22" i="37" a="1"/>
  <c r="L22" i="37"/>
  <c r="H29" i="39" a="1"/>
  <c r="H29" i="39"/>
  <c r="P25" i="37"/>
  <c r="H32" i="39" a="1"/>
  <c r="H32" i="39"/>
  <c r="P28" i="37"/>
  <c r="H34" i="39" a="1"/>
  <c r="H34" i="39"/>
  <c r="P30" i="37"/>
  <c r="H36" i="39" a="1"/>
  <c r="H36" i="39"/>
  <c r="P32" i="37"/>
  <c r="E30" i="39"/>
  <c r="F30" i="39"/>
  <c r="G30" i="39"/>
  <c r="C37" i="39"/>
  <c r="E37" i="39"/>
  <c r="C33" i="39"/>
  <c r="G33" i="39"/>
  <c r="F37" i="39"/>
  <c r="E31" i="39"/>
  <c r="G37" i="39"/>
  <c r="F31" i="39"/>
  <c r="G35" i="39"/>
  <c r="C31" i="39"/>
  <c r="F35" i="39"/>
  <c r="D31" i="39"/>
  <c r="C30" i="39"/>
  <c r="C35" i="39"/>
  <c r="D35" i="39"/>
  <c r="E33" i="39"/>
  <c r="F33" i="39"/>
  <c r="H38" i="39" a="1"/>
  <c r="H38" i="39"/>
  <c r="P34" i="37"/>
  <c r="H24" i="39" a="1"/>
  <c r="H24" i="39"/>
  <c r="H23" i="39" a="1"/>
  <c r="H23" i="39"/>
  <c r="P19" i="37"/>
  <c r="H26" i="39" a="1"/>
  <c r="H26" i="39"/>
  <c r="P22" i="37"/>
  <c r="V22" i="37"/>
  <c r="X26" i="37"/>
  <c r="V26" i="37"/>
  <c r="X33" i="37"/>
  <c r="AD33" i="37"/>
  <c r="V33" i="37"/>
  <c r="X25" i="37"/>
  <c r="V25" i="37"/>
  <c r="X31" i="37"/>
  <c r="V31" i="37"/>
  <c r="Z31" i="37"/>
  <c r="AD31" i="37"/>
  <c r="X29" i="37"/>
  <c r="V29" i="37"/>
  <c r="AD29" i="37"/>
  <c r="V24" i="37"/>
  <c r="X24" i="37"/>
  <c r="X27" i="37"/>
  <c r="AD27" i="37"/>
  <c r="V27" i="37"/>
  <c r="AD30" i="37"/>
  <c r="X30" i="37"/>
  <c r="V30" i="37"/>
  <c r="Z30" i="37"/>
  <c r="E28" i="39"/>
  <c r="D28" i="39"/>
  <c r="C28" i="39"/>
  <c r="F28" i="39"/>
  <c r="G28" i="39"/>
  <c r="C26" i="39"/>
  <c r="F26" i="39"/>
  <c r="D26" i="39"/>
  <c r="G26" i="39"/>
  <c r="E26" i="39"/>
  <c r="D27" i="39"/>
  <c r="C27" i="39"/>
  <c r="G27" i="39"/>
  <c r="E27" i="39"/>
  <c r="F27" i="39"/>
  <c r="G25" i="39"/>
  <c r="F25" i="39"/>
  <c r="C25" i="39"/>
  <c r="E25" i="39"/>
  <c r="D25" i="39"/>
  <c r="G38" i="39"/>
  <c r="C38" i="39"/>
  <c r="F38" i="39"/>
  <c r="E38" i="39"/>
  <c r="D38" i="39"/>
  <c r="G32" i="39"/>
  <c r="F32" i="39"/>
  <c r="C32" i="39"/>
  <c r="E32" i="39"/>
  <c r="D32" i="39"/>
  <c r="V28" i="37"/>
  <c r="AD28" i="37"/>
  <c r="X28" i="37"/>
  <c r="G29" i="39"/>
  <c r="E29" i="39"/>
  <c r="F29" i="39"/>
  <c r="D29" i="39"/>
  <c r="C29" i="39"/>
  <c r="F36" i="39"/>
  <c r="G36" i="39"/>
  <c r="E36" i="39"/>
  <c r="D36" i="39"/>
  <c r="C36" i="39"/>
  <c r="C34" i="39"/>
  <c r="E34" i="39"/>
  <c r="G34" i="39"/>
  <c r="D34" i="39"/>
  <c r="F34" i="39"/>
  <c r="V23" i="37"/>
  <c r="X23" i="37"/>
  <c r="X32" i="37"/>
  <c r="AD32" i="37"/>
  <c r="V32" i="37"/>
  <c r="X21" i="37"/>
  <c r="V21" i="37"/>
  <c r="Z21" i="37"/>
  <c r="G21" i="38"/>
  <c r="Z26" i="37"/>
  <c r="Z33" i="37"/>
  <c r="G14" i="38"/>
  <c r="X22" i="37"/>
  <c r="Z22" i="37"/>
  <c r="V19" i="37"/>
  <c r="X19" i="37"/>
  <c r="V34" i="37"/>
  <c r="AD34" i="37"/>
  <c r="K18" i="38"/>
  <c r="Z25" i="37"/>
  <c r="X34" i="37"/>
  <c r="Z27" i="37"/>
  <c r="Z32" i="37"/>
  <c r="G18" i="38"/>
  <c r="G16" i="38"/>
  <c r="Z24" i="37"/>
  <c r="Z23" i="37"/>
  <c r="Z28" i="37"/>
  <c r="Z29" i="37"/>
  <c r="I16" i="38"/>
  <c r="M16" i="38"/>
  <c r="Z34" i="37"/>
  <c r="Z19" i="37"/>
  <c r="I14" i="38"/>
  <c r="M14" i="38"/>
  <c r="I18" i="38"/>
  <c r="M18" i="38"/>
  <c r="O14" i="38"/>
  <c r="G30" i="38"/>
  <c r="G36" i="38"/>
  <c r="I104" i="3"/>
  <c r="K104" i="3"/>
  <c r="K113" i="3"/>
  <c r="L43" i="5"/>
  <c r="L33" i="5"/>
  <c r="I113" i="3"/>
  <c r="I43" i="5"/>
  <c r="I33" i="5"/>
  <c r="I41" i="5"/>
  <c r="J41" i="5"/>
  <c r="I47" i="5"/>
  <c r="L41" i="5"/>
  <c r="M41" i="5"/>
  <c r="L47" i="5"/>
  <c r="L45" i="5"/>
  <c r="M45" i="5"/>
  <c r="I45" i="5"/>
  <c r="J45" i="5"/>
  <c r="I49" i="5"/>
  <c r="I51"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<sst xmlns="http://schemas.openxmlformats.org/spreadsheetml/2006/main" count="1021" uniqueCount="426">
  <si>
    <t>The HGB Calculator Tool was developed by CMS as a teaching tool to support hospitals and other stakeholders understand the methodology. The Calculator Tool should not be modified from its current form for any other purpose.</t>
  </si>
  <si>
    <t xml:space="preserve"> AHEAD Model 
 Medicare Hospital Global Budget Calculator (Critical Access Hospital)</t>
  </si>
  <si>
    <t>Instructions</t>
  </si>
  <si>
    <r>
      <t xml:space="preserve">The HGB Calculator splits the calculation into five unique steps. (1) Hospital Baseline, (2) Volume Based Adjustments, (3) Pricing &amp; Demographic Adjustments, (4) AHEAD Specific Adjustments, and (5) Global Budget Payments. Please complete each tab in that order. 
Within each tab are blue highlighted cells and yellow highlighted cells. The user is required to enter data into all cells highlighted in blue. In some cases, a drop down is provided, allowing the user to select a pre-populated amount. Directions on what data to include are provided on the left and notes/clarifications are shared to the right. In some cases, data entry is required specific to inpatient or outpatient services. Yellow cells do not require user data entry. These are automated calculations. 
</t>
    </r>
    <r>
      <rPr>
        <i/>
        <sz val="11"/>
        <color theme="1"/>
        <rFont val="Aptos Narrow"/>
        <family val="2"/>
        <scheme val="minor"/>
      </rPr>
      <t>While not all adjustments are applicable throughout all Performance Years (PYs), every adjustment is included in the calculator. In all cases, the Base Years (BYs) and Performance Years (PYs) included reflect calculating the adjustment in the first year it is applicable. The descriptions below note the years in which the adjustment is first applicable. Please see the Version 3.0 Financial Specifications for more detailed information on the specific years in which each adjustment is applicable and the input data incorporated for each year.</t>
    </r>
  </si>
  <si>
    <t>Tab</t>
  </si>
  <si>
    <t>Description</t>
  </si>
  <si>
    <t>Step 1. Hospital Baseline</t>
  </si>
  <si>
    <r>
      <t xml:space="preserve">The </t>
    </r>
    <r>
      <rPr>
        <b/>
        <sz val="11"/>
        <color theme="1"/>
        <rFont val="Aptos Narrow"/>
        <family val="2"/>
        <scheme val="minor"/>
      </rPr>
      <t xml:space="preserve">HGB Baseline Amount </t>
    </r>
    <r>
      <rPr>
        <sz val="11"/>
        <color theme="1"/>
        <rFont val="Aptos Narrow"/>
        <family val="2"/>
        <scheme val="minor"/>
      </rPr>
      <t xml:space="preserve">is the starting point for determining </t>
    </r>
    <r>
      <rPr>
        <sz val="11"/>
        <rFont val="Aptos Narrow"/>
        <family val="2"/>
        <scheme val="minor"/>
      </rPr>
      <t>PY1</t>
    </r>
    <r>
      <rPr>
        <sz val="11"/>
        <color theme="1"/>
        <rFont val="Aptos Narrow"/>
        <family val="2"/>
        <scheme val="minor"/>
      </rPr>
      <t xml:space="preserve"> payment for a Participant Hospital. To calculate the Baseline Amount, CMS will utilize historical Medicare FFS revenue data from three Base Years. If applicable, a </t>
    </r>
    <r>
      <rPr>
        <b/>
        <sz val="11"/>
        <color theme="1"/>
        <rFont val="Aptos Narrow"/>
        <family val="2"/>
        <scheme val="minor"/>
      </rPr>
      <t>Service Line Adjustment</t>
    </r>
    <r>
      <rPr>
        <sz val="11"/>
        <color theme="1"/>
        <rFont val="Aptos Narrow"/>
        <family val="2"/>
        <scheme val="minor"/>
      </rPr>
      <t xml:space="preserve"> is applied to account for anticipated revenue changes from pre-planned service line changes.</t>
    </r>
  </si>
  <si>
    <t>Step 2. Volume Based Adjustments</t>
  </si>
  <si>
    <r>
      <t xml:space="preserve">After the HGB Baseline Calculation, CMS applies the Volume-Based Adjustments.
1. </t>
    </r>
    <r>
      <rPr>
        <b/>
        <sz val="11"/>
        <color theme="1"/>
        <rFont val="Aptos Narrow"/>
        <family val="2"/>
        <scheme val="minor"/>
      </rPr>
      <t xml:space="preserve">Market Shift Adjustment </t>
    </r>
    <r>
      <rPr>
        <i/>
        <sz val="11"/>
        <color theme="1"/>
        <rFont val="Aptos Narrow"/>
        <family val="2"/>
        <scheme val="minor"/>
      </rPr>
      <t xml:space="preserve">(first applied in PY2): </t>
    </r>
    <r>
      <rPr>
        <sz val="11"/>
        <color theme="1"/>
        <rFont val="Aptos Narrow"/>
        <family val="2"/>
        <scheme val="minor"/>
      </rPr>
      <t xml:space="preserve">Adjusts the HGB for upward and downward changes in revenue when patient volume and complexity realigns or shifts between Eligible Hospitals. </t>
    </r>
  </si>
  <si>
    <t>Step 3. Reflect FFS</t>
  </si>
  <si>
    <r>
      <t xml:space="preserve">After application of the Volume Based Adjustments, CMS applies the Pricing and Demographic Adjustments to reflect changes that would have taken place under the FFS payment system.
1. </t>
    </r>
    <r>
      <rPr>
        <b/>
        <sz val="11"/>
        <color theme="1"/>
        <rFont val="Aptos Narrow"/>
        <family val="2"/>
        <scheme val="minor"/>
      </rPr>
      <t>Annual Payment Adjustment</t>
    </r>
    <r>
      <rPr>
        <sz val="11"/>
        <color theme="1"/>
        <rFont val="Aptos Narrow"/>
        <family val="2"/>
        <scheme val="minor"/>
      </rPr>
      <t xml:space="preserve"> </t>
    </r>
    <r>
      <rPr>
        <i/>
        <sz val="11"/>
        <color theme="1"/>
        <rFont val="Aptos Narrow"/>
        <family val="2"/>
        <scheme val="minor"/>
      </rPr>
      <t>(applied in each PY):</t>
    </r>
    <r>
      <rPr>
        <sz val="11"/>
        <color theme="1"/>
        <rFont val="Aptos Narrow"/>
        <family val="2"/>
        <scheme val="minor"/>
      </rPr>
      <t xml:space="preserve"> Adjusts the baseline to account for changes in Medicare FFS prices between years.
2. </t>
    </r>
    <r>
      <rPr>
        <b/>
        <sz val="11"/>
        <color theme="1"/>
        <rFont val="Aptos Narrow"/>
        <family val="2"/>
        <scheme val="minor"/>
      </rPr>
      <t>Demographic Adjustment</t>
    </r>
    <r>
      <rPr>
        <sz val="11"/>
        <color theme="1"/>
        <rFont val="Aptos Narrow"/>
        <family val="2"/>
        <scheme val="minor"/>
      </rPr>
      <t xml:space="preserve"> </t>
    </r>
    <r>
      <rPr>
        <i/>
        <sz val="11"/>
        <color theme="1"/>
        <rFont val="Aptos Narrow"/>
        <family val="2"/>
        <scheme val="minor"/>
      </rPr>
      <t>(applied in each PY):</t>
    </r>
    <r>
      <rPr>
        <sz val="11"/>
        <color theme="1"/>
        <rFont val="Aptos Narrow"/>
        <family val="2"/>
        <scheme val="minor"/>
      </rPr>
      <t xml:space="preserve"> Adjusts the HGB to reflect changes in both the size and medical risk of the population served.</t>
    </r>
  </si>
  <si>
    <r>
      <rPr>
        <b/>
        <u/>
        <sz val="11"/>
        <rFont val="Aptos Narrow"/>
        <family val="2"/>
        <scheme val="minor"/>
      </rPr>
      <t>Step 4. AHEAD Specific Adjs</t>
    </r>
    <r>
      <rPr>
        <u/>
        <sz val="11"/>
        <color theme="10"/>
        <rFont val="Aptos Narrow"/>
        <family val="2"/>
        <scheme val="minor"/>
      </rPr>
      <t xml:space="preserve">
</t>
    </r>
    <r>
      <rPr>
        <i/>
        <sz val="11"/>
        <rFont val="Aptos Narrow"/>
        <family val="2"/>
        <scheme val="minor"/>
      </rPr>
      <t>Annual AHEAD Specific Adjs + Performance Based Adjs</t>
    </r>
  </si>
  <si>
    <r>
      <t xml:space="preserve">Adjustments specific to the AHEAD model offer the potential to increase payments with limited downside risk. 
1. </t>
    </r>
    <r>
      <rPr>
        <b/>
        <sz val="11"/>
        <rFont val="Aptos Narrow"/>
        <family val="2"/>
        <scheme val="minor"/>
      </rPr>
      <t xml:space="preserve">Social Risk Adjustment </t>
    </r>
    <r>
      <rPr>
        <sz val="11"/>
        <rFont val="Aptos Narrow"/>
        <family val="2"/>
        <scheme val="minor"/>
      </rPr>
      <t>(</t>
    </r>
    <r>
      <rPr>
        <i/>
        <sz val="11"/>
        <rFont val="Aptos Narrow"/>
        <family val="2"/>
        <scheme val="minor"/>
      </rPr>
      <t>applied in each PY):</t>
    </r>
    <r>
      <rPr>
        <sz val="11"/>
        <rFont val="Aptos Narrow"/>
        <family val="2"/>
        <scheme val="minor"/>
      </rPr>
      <t xml:space="preserve"> Upside only adjustment to account for hospital-to-hospital differences in social risk of the beneficiary population.
2. </t>
    </r>
    <r>
      <rPr>
        <b/>
        <sz val="11"/>
        <rFont val="Aptos Narrow"/>
        <family val="2"/>
        <scheme val="minor"/>
      </rPr>
      <t>Effectiveness Adjustment</t>
    </r>
    <r>
      <rPr>
        <sz val="11"/>
        <rFont val="Aptos Narrow"/>
        <family val="2"/>
        <scheme val="minor"/>
      </rPr>
      <t xml:space="preserve"> </t>
    </r>
    <r>
      <rPr>
        <i/>
        <sz val="11"/>
        <rFont val="Aptos Narrow"/>
        <family val="2"/>
        <scheme val="minor"/>
      </rPr>
      <t xml:space="preserve">(first applied in PY3): </t>
    </r>
    <r>
      <rPr>
        <sz val="11"/>
        <rFont val="Aptos Narrow"/>
        <family val="2"/>
        <scheme val="minor"/>
      </rPr>
      <t xml:space="preserve">Based on a Participant Hospital’s Medicare FFS Potentially Avoidable Utilization (PAU) performance relative to all other Eligible Hospitals in the state.  The Effectiveness Adjustment is designed to incentivize Participant Hospitals to implement interventions that reduce unnecessary or avoidable care. 
3. </t>
    </r>
    <r>
      <rPr>
        <b/>
        <sz val="11"/>
        <rFont val="Aptos Narrow"/>
        <family val="2"/>
        <scheme val="minor"/>
      </rPr>
      <t>Community Improvement Bonus</t>
    </r>
    <r>
      <rPr>
        <sz val="11"/>
        <rFont val="Aptos Narrow"/>
        <family val="2"/>
        <scheme val="minor"/>
      </rPr>
      <t xml:space="preserve"> </t>
    </r>
    <r>
      <rPr>
        <i/>
        <sz val="11"/>
        <rFont val="Aptos Narrow"/>
        <family val="2"/>
        <scheme val="minor"/>
      </rPr>
      <t xml:space="preserve">(first applied in PY4): </t>
    </r>
    <r>
      <rPr>
        <sz val="11"/>
        <rFont val="Aptos Narrow"/>
        <family val="2"/>
        <scheme val="minor"/>
      </rPr>
      <t>The CIB is an upside only bonus to reward performance improvement on two community health improvement focused quality measures: Hybrid Hospital Wide Readmission (Hybrid eHWR) and Prevention Quality Indicators (PQI)-90 composite admission rates.
4.</t>
    </r>
    <r>
      <rPr>
        <b/>
        <sz val="11"/>
        <rFont val="Aptos Narrow"/>
        <family val="2"/>
        <scheme val="minor"/>
      </rPr>
      <t xml:space="preserve"> Total Cost of Care Adjustment</t>
    </r>
    <r>
      <rPr>
        <sz val="11"/>
        <rFont val="Aptos Narrow"/>
        <family val="2"/>
        <scheme val="minor"/>
      </rPr>
      <t xml:space="preserve"> </t>
    </r>
    <r>
      <rPr>
        <i/>
        <sz val="11"/>
        <rFont val="Aptos Narrow"/>
        <family val="2"/>
        <scheme val="minor"/>
      </rPr>
      <t>(first applied in PY4):</t>
    </r>
    <r>
      <rPr>
        <sz val="11"/>
        <rFont val="Aptos Narrow"/>
        <family val="2"/>
        <scheme val="minor"/>
      </rPr>
      <t xml:space="preserve"> Participant Hospitals can earn additional incentives for managing TCOC incurred by Medicare FFS beneficiaries residing in their market area. 
5. </t>
    </r>
    <r>
      <rPr>
        <b/>
        <sz val="11"/>
        <rFont val="Aptos Narrow"/>
        <family val="2"/>
        <scheme val="minor"/>
      </rPr>
      <t>Transformation Incentive Adjustment</t>
    </r>
    <r>
      <rPr>
        <sz val="11"/>
        <rFont val="Aptos Narrow"/>
        <family val="2"/>
        <scheme val="minor"/>
      </rPr>
      <t xml:space="preserve"> </t>
    </r>
    <r>
      <rPr>
        <i/>
        <sz val="11"/>
        <rFont val="Aptos Narrow"/>
        <family val="2"/>
        <scheme val="minor"/>
      </rPr>
      <t>(applied in first two PYs):</t>
    </r>
    <r>
      <rPr>
        <sz val="11"/>
        <rFont val="Aptos Narrow"/>
        <family val="2"/>
        <scheme val="minor"/>
      </rPr>
      <t xml:space="preserve"> CMS will include an upward adjustment in the first two PYs of the applicable cohort.</t>
    </r>
  </si>
  <si>
    <t>Step 4A/B. CAH Quality Adjustment</t>
  </si>
  <si>
    <r>
      <rPr>
        <b/>
        <sz val="11"/>
        <rFont val="Aptos Narrow"/>
        <family val="2"/>
        <scheme val="minor"/>
      </rPr>
      <t xml:space="preserve">1. CAH Quality Adjustment (first applied in PY3): </t>
    </r>
    <r>
      <rPr>
        <sz val="11"/>
        <rFont val="Aptos Narrow"/>
        <family val="2"/>
        <scheme val="minor"/>
      </rPr>
      <t>In AHEAD, CAHs participate in the CAH Quality Incentive Program, an upside-only quality program that begins as pay-for-reporting and advances to pay-for-performance for a select set of measures, including rural-specific measures. The HGB CAH Calculator splits the CAH Quality Adjustment into two unique steps, 4A and 4B.</t>
    </r>
  </si>
  <si>
    <t>Step 5. Final HGB</t>
  </si>
  <si>
    <t>Calculates the final HGB amount based on the data entered in steps 1, 2, 3, and 4. Applies a 2% sequestration reduction.</t>
  </si>
  <si>
    <t>Quality Results</t>
  </si>
  <si>
    <t xml:space="preserve">Quality data is sourced from Medicare Beneficiary Quality Improvement Project (MBQIP) and the Provider Data Catalog. Data is not publicly available for the Emergency Transfer Communication Measure. </t>
  </si>
  <si>
    <t>Appendix - SRA Look Up Table</t>
  </si>
  <si>
    <t>The Social Risk Adjustment (SRA) Look Up table is used to determine the hospital's Social Risk Adjustment based on the percentile of their calculated Social Risk Score (SRS) when compared with other hospitals in the state or substate region.</t>
  </si>
  <si>
    <t>Appendix - EA Look Up Table</t>
  </si>
  <si>
    <t>The Effectiveness Adjustment Look Up Table is used to determine the hospital's EA adjustment which is tiered so that hospitals with a higher PAU Percent receive a greater reduction.</t>
  </si>
  <si>
    <t>Appendix - CIB Look Up Table</t>
  </si>
  <si>
    <t xml:space="preserve">The Community Improvement Bonus (CIB) Look Up table is used to identify the hospitals' SRS multiplier. Participant Hospitals with the highest SRS percentile in their state receive the maximum SRS multiplier.  The greater the SRS multiplier, the greater the improvement rate for each quality measure and thus the greater the bonus.   </t>
  </si>
  <si>
    <t>Data Entry Required</t>
  </si>
  <si>
    <t>No Data Entry Required</t>
  </si>
  <si>
    <t>CCN Selection</t>
  </si>
  <si>
    <r>
      <t xml:space="preserve">The hospital CCN entered is used to automatically populate certain data points in the calculation. Look up your CCN here: </t>
    </r>
    <r>
      <rPr>
        <i/>
        <sz val="11"/>
        <rFont val="Aptos Narrow"/>
        <family val="2"/>
        <scheme val="minor"/>
      </rPr>
      <t>https://data.cms.gov/tools/medicare-inpatient-hospital-look-up-tool
Note: While the HGB methodology allows hospitals to participate at the Organizational National Provider Identifier (ONPI) level, the calculator tool is designed to calculate a budget at the CCN level. Users may enter data in the blue cells at the ONPI level if they wish to visualize the impact of the methodology at that level. Note that not all adjustments are applicable at the ONPI level (e.g. APA) and are calculated at the CCN</t>
    </r>
    <r>
      <rPr>
        <sz val="11"/>
        <rFont val="Aptos Narrow"/>
        <family val="2"/>
        <scheme val="minor"/>
      </rPr>
      <t xml:space="preserve"> level. </t>
    </r>
  </si>
  <si>
    <t>(A) Enter your Hospital CCN</t>
  </si>
  <si>
    <t>Calculation</t>
  </si>
  <si>
    <t>Inpatient</t>
  </si>
  <si>
    <t>Outpatient</t>
  </si>
  <si>
    <t>Explanation / Notes</t>
  </si>
  <si>
    <t>(B) Enter the Estimated FFS Revenue for the Time Periods Below</t>
  </si>
  <si>
    <t>For CAHs, the inpatient Baseline payment amount is the sum of interim payments made through claims, cost report settlements, Skilled Nursing Facility swing bed (swing bed) interim payments made through claims, and swing bed settlements made through cost reports.  Settlement amounts (CAH and CAH Swing Bed) are obtained from cost report data in the Healthcare Provider Cost Reporting Information System (HCRIS), and swing bed interim claim payment amounts are obtained through the CMS IDR. CAHs are paid for most inpatient and outpatient services to patients at 101 percent of reasonable costs</t>
  </si>
  <si>
    <t>Enter the hospital's estimated FFS Revenue for Base Year 1 (July 1 - June 30)</t>
  </si>
  <si>
    <t>Enter the hospital's estimated FFS Revenue for Base Year 2 (July 1 - June 30)</t>
  </si>
  <si>
    <t>Enter the hospital's estimated FFS Revenue for Base Year 3 (July 1 - June 30)</t>
  </si>
  <si>
    <t>(C) Add Sequestration Back to Baseline Amounts - (No Data Entry Required)</t>
  </si>
  <si>
    <r>
      <rPr>
        <b/>
        <sz val="11"/>
        <color theme="1"/>
        <rFont val="Aptos Narrow"/>
        <family val="2"/>
        <scheme val="minor"/>
      </rPr>
      <t xml:space="preserve">BY1 Revenue </t>
    </r>
    <r>
      <rPr>
        <sz val="11"/>
        <color theme="1"/>
        <rFont val="Aptos Narrow"/>
        <family val="2"/>
        <scheme val="minor"/>
      </rPr>
      <t>= BY1 Revenue / 0.98</t>
    </r>
  </si>
  <si>
    <t>Payment reductions from sequestration during the BYs are added back to historical Medicare FFS revenue so that sequestration can be appropriately re-applied to PY HGB payments (Step 5). For the purpose of the calculator tool, sequestration is set at 2%.</t>
  </si>
  <si>
    <r>
      <rPr>
        <b/>
        <sz val="11"/>
        <color theme="1"/>
        <rFont val="Aptos Narrow"/>
        <family val="2"/>
        <scheme val="minor"/>
      </rPr>
      <t xml:space="preserve">BY2 Revenue </t>
    </r>
    <r>
      <rPr>
        <sz val="11"/>
        <color theme="1"/>
        <rFont val="Aptos Narrow"/>
        <family val="2"/>
        <scheme val="minor"/>
      </rPr>
      <t>= BY2 Revenue / 0.98</t>
    </r>
  </si>
  <si>
    <r>
      <rPr>
        <b/>
        <sz val="11"/>
        <color theme="1"/>
        <rFont val="Aptos Narrow"/>
        <family val="2"/>
        <scheme val="minor"/>
      </rPr>
      <t xml:space="preserve">BY3 Revenue </t>
    </r>
    <r>
      <rPr>
        <sz val="11"/>
        <color theme="1"/>
        <rFont val="Aptos Narrow"/>
        <family val="2"/>
        <scheme val="minor"/>
      </rPr>
      <t>= BY3 Revenue / 0.98</t>
    </r>
  </si>
  <si>
    <r>
      <t xml:space="preserve">BY1 Adjusted Revenue </t>
    </r>
    <r>
      <rPr>
        <sz val="11"/>
        <color theme="1"/>
        <rFont val="Aptos Narrow"/>
        <family val="2"/>
        <scheme val="minor"/>
      </rPr>
      <t>= BY1 Revenue * 1.02</t>
    </r>
    <r>
      <rPr>
        <vertAlign val="superscript"/>
        <sz val="11"/>
        <color theme="1"/>
        <rFont val="Aptos Narrow"/>
        <family val="2"/>
        <scheme val="minor"/>
      </rPr>
      <t>2</t>
    </r>
  </si>
  <si>
    <r>
      <t xml:space="preserve">BY2 Adjusted Revenue </t>
    </r>
    <r>
      <rPr>
        <sz val="11"/>
        <color theme="1"/>
        <rFont val="Aptos Narrow"/>
        <family val="2"/>
        <scheme val="minor"/>
      </rPr>
      <t>= BY2 Revenue * 1.02</t>
    </r>
  </si>
  <si>
    <r>
      <t xml:space="preserve">BY3 Adjusted Revenue </t>
    </r>
    <r>
      <rPr>
        <sz val="11"/>
        <color theme="1"/>
        <rFont val="Aptos Narrow"/>
        <family val="2"/>
        <scheme val="minor"/>
      </rPr>
      <t>= BY3 Revenue</t>
    </r>
  </si>
  <si>
    <t>(E) Apply Weighting- (No Data Entry Required)</t>
  </si>
  <si>
    <r>
      <rPr>
        <b/>
        <sz val="11"/>
        <color theme="1"/>
        <rFont val="Aptos Narrow"/>
        <family val="2"/>
        <scheme val="minor"/>
      </rPr>
      <t xml:space="preserve">BY 1 Baseline Contribution Amount </t>
    </r>
    <r>
      <rPr>
        <sz val="11"/>
        <color theme="1"/>
        <rFont val="Aptos Narrow"/>
        <family val="2"/>
        <scheme val="minor"/>
      </rPr>
      <t>= Adjusted BY1 Revenue x 10%</t>
    </r>
  </si>
  <si>
    <t>Base Year contributions are weighted, with recent years taking priority.</t>
  </si>
  <si>
    <r>
      <rPr>
        <b/>
        <sz val="11"/>
        <color theme="1"/>
        <rFont val="Aptos Narrow"/>
        <family val="2"/>
        <scheme val="minor"/>
      </rPr>
      <t>BY 2 Baseline Contribution Amount</t>
    </r>
    <r>
      <rPr>
        <sz val="11"/>
        <color theme="1"/>
        <rFont val="Aptos Narrow"/>
        <family val="2"/>
        <scheme val="minor"/>
      </rPr>
      <t xml:space="preserve"> = Adjusted BY2 Revenue x 30%</t>
    </r>
  </si>
  <si>
    <r>
      <rPr>
        <b/>
        <sz val="11"/>
        <color theme="1"/>
        <rFont val="Aptos Narrow"/>
        <family val="2"/>
        <scheme val="minor"/>
      </rPr>
      <t>BY 3 Baseline Contribution Amount</t>
    </r>
    <r>
      <rPr>
        <sz val="11"/>
        <color theme="1"/>
        <rFont val="Aptos Narrow"/>
        <family val="2"/>
        <scheme val="minor"/>
      </rPr>
      <t xml:space="preserve"> = Adjusted BY3 Revenue x 60%</t>
    </r>
  </si>
  <si>
    <t>(F) Sum the Total Baseline  - (No Data Entry Required)</t>
  </si>
  <si>
    <r>
      <rPr>
        <b/>
        <sz val="11"/>
        <color theme="1"/>
        <rFont val="Aptos Narrow"/>
        <family val="2"/>
        <scheme val="minor"/>
      </rPr>
      <t>Baseline Optimization</t>
    </r>
    <r>
      <rPr>
        <sz val="11"/>
        <color theme="1"/>
        <rFont val="Aptos Narrow"/>
        <family val="2"/>
        <scheme val="minor"/>
      </rPr>
      <t>: For PY1 only, after the baseline calculation, CMS uses logistic regression to adjust the weighted baseline, and ensure it appropriately represents what Medicare FFS payments to the hospital would have been in the absence of HGB payments. This calculation is not displayed in the calculator tool.</t>
    </r>
  </si>
  <si>
    <r>
      <rPr>
        <b/>
        <sz val="11"/>
        <color theme="1"/>
        <rFont val="Aptos Narrow"/>
        <family val="2"/>
        <scheme val="minor"/>
      </rPr>
      <t xml:space="preserve">Total  Baseline Amount </t>
    </r>
    <r>
      <rPr>
        <sz val="11"/>
        <color theme="1"/>
        <rFont val="Aptos Narrow"/>
        <family val="2"/>
        <scheme val="minor"/>
      </rPr>
      <t>= BY1 Baseline Contribution Amount + BY2 Baseline Contribution Amount + BY3 Baseline Contribution Amount</t>
    </r>
  </si>
  <si>
    <r>
      <rPr>
        <b/>
        <sz val="11"/>
        <color theme="1"/>
        <rFont val="Aptos Narrow"/>
        <family val="2"/>
        <scheme val="minor"/>
      </rPr>
      <t xml:space="preserve">Note: </t>
    </r>
    <r>
      <rPr>
        <sz val="11"/>
        <color theme="1"/>
        <rFont val="Aptos Narrow"/>
        <family val="2"/>
        <scheme val="minor"/>
      </rPr>
      <t>The Baseline Amount is only calculated once. After PY1, the Baseline is set as the prior year's HGB Baseline plus the prior year's volume based adjustments and pricing &amp; demographic adjustments.</t>
    </r>
  </si>
  <si>
    <t xml:space="preserve">Service Line Adjustment (SLA) </t>
  </si>
  <si>
    <t>(A) Planned Service Line Additions - (No Data Entry Required)</t>
  </si>
  <si>
    <t>Service Line Adjustments (SLA) adjust prospective HGBs to account for anticipated revenue changes from pre-planned service line changes, including additions, eliminations, expansions, or contractions of service lines within a given market area.  Participant Hospitals must inform their AHEAD State and CMS of any planned service line contractions or eliminations. Upon receiving approval from CMS for a service line reduction or elimination, CAHs may request retention of up to the entire revenue (100 percent) associated with the reduced or eliminated service line if it is used to specifically target the goals of their Population Health Accountability Plan, State Population Health Accountability Plan, or for another approved purpose (e.g., care management and transition planning).</t>
  </si>
  <si>
    <t>For the purposes of this calculator tool, Service Line Additions cannot be included as they do not apply to all Eligible AHEAD Hospitals</t>
  </si>
  <si>
    <t>(B) Planned Service Line Contractions - (No Data Entry Required)</t>
  </si>
  <si>
    <t>For the purposes of this calculator tool, Service Line Contractions  cannot be included as they do not apply to all Eligible AHEAD Hospitals</t>
  </si>
  <si>
    <t>Calculated Hospital Baseline</t>
  </si>
  <si>
    <r>
      <rPr>
        <b/>
        <sz val="11"/>
        <color theme="1"/>
        <rFont val="Aptos Narrow"/>
        <family val="2"/>
        <scheme val="minor"/>
      </rPr>
      <t xml:space="preserve">Final Hospital Baseline </t>
    </r>
    <r>
      <rPr>
        <sz val="11"/>
        <color theme="1"/>
        <rFont val="Aptos Narrow"/>
        <family val="2"/>
        <scheme val="minor"/>
      </rPr>
      <t>= Total Baseline Amount  + Service Line Adjustment</t>
    </r>
  </si>
  <si>
    <t xml:space="preserve">Calculation </t>
  </si>
  <si>
    <t>(A) Enter Fee For Service (FFS) Payment Proportions</t>
  </si>
  <si>
    <t xml:space="preserve">To ensure the market area revenue is relevant to each hospital, the Hospital-Specific Market Area is calculated at the zip-code level, with several distance and revenue criteria. To be included in a Hospital-Specific Market Area, a zip code must be located within 120 miles of the Eligible Hospital.  In addition, the zip code must meet at least one of the following criteria:
1.	The zip code contributes at least 0.75 percent of the Eligible Hospital’s total FFS dollars 
2.	Within the zip code, the Eligible Hospital is the first or second hospital ranked by FFS dollars 
3.	When zip codes are sorted descending by total FFS dollars, the zip code contributes to the top 75 percent cumulative FFS dollars to the hospital.
The Market Shift Adjustment (MSA) measures shifts in services between hospitals within this Hospital-Specific Market Area between hospitals that have "overlapping zip-codes" meaning the other hospital's market area includes a zip-code in the primary hospital's market area. For these hospitals, only data from "overlapping zip-codes", defined as zip codes in both hospital's market areas, are included.  </t>
  </si>
  <si>
    <t>Estimate the FFS Payment Proportions for BY3 and the Gap Period</t>
  </si>
  <si>
    <r>
      <rPr>
        <b/>
        <sz val="11"/>
        <color theme="1"/>
        <rFont val="Aptos Narrow"/>
        <family val="2"/>
        <scheme val="minor"/>
      </rPr>
      <t xml:space="preserve">FFS Payment Proportion BY3 = </t>
    </r>
    <r>
      <rPr>
        <sz val="11"/>
        <color theme="1"/>
        <rFont val="Aptos Narrow"/>
        <family val="2"/>
        <scheme val="minor"/>
      </rPr>
      <t>Hospital Total Payment in BY3 / Market Area Total Payments in BY3. Applicable only for  beneficiaries residing in the hospital's market area zip-codes.</t>
    </r>
  </si>
  <si>
    <r>
      <rPr>
        <b/>
        <sz val="11"/>
        <color theme="1"/>
        <rFont val="Aptos Narrow"/>
        <family val="2"/>
        <scheme val="minor"/>
      </rPr>
      <t xml:space="preserve">FFS Payment Proportion Gap Period = </t>
    </r>
    <r>
      <rPr>
        <sz val="11"/>
        <color theme="1"/>
        <rFont val="Aptos Narrow"/>
        <family val="2"/>
        <scheme val="minor"/>
      </rPr>
      <t>Hospital Total Payments in Gap Period / Market Area Total Payments in Gap Period. Applicable only for beneficiaries residing in the hospital's market area zip-codes.</t>
    </r>
  </si>
  <si>
    <t>(B) Calculate the Hospital's Proportional Shifts (No Data Entry Required)</t>
  </si>
  <si>
    <t>The Payment Proportional Shift is the change in the hospital’s total payments, as a proportion of the total overlapping market area’s Total Payments between the two time periods included in the MSA.</t>
  </si>
  <si>
    <r>
      <rPr>
        <b/>
        <sz val="11"/>
        <rFont val="Aptos Narrow"/>
        <family val="2"/>
        <scheme val="minor"/>
      </rPr>
      <t xml:space="preserve">FFS Payment Proportional Shift = </t>
    </r>
    <r>
      <rPr>
        <sz val="11"/>
        <rFont val="Aptos Narrow"/>
        <family val="2"/>
        <scheme val="minor"/>
      </rPr>
      <t>Total Payment Proportion Gap Period - Total Payment Proportion BY3</t>
    </r>
  </si>
  <si>
    <r>
      <rPr>
        <b/>
        <sz val="11"/>
        <rFont val="Aptos Narrow"/>
        <family val="2"/>
        <scheme val="minor"/>
      </rPr>
      <t xml:space="preserve">Weights Proportional Shift = </t>
    </r>
    <r>
      <rPr>
        <sz val="11"/>
        <rFont val="Aptos Narrow"/>
        <family val="2"/>
        <scheme val="minor"/>
      </rPr>
      <t>Weights Proportion Gap Period - Weights Proportion BY3</t>
    </r>
    <r>
      <rPr>
        <i/>
        <sz val="11"/>
        <rFont val="Aptos Narrow"/>
        <family val="2"/>
        <scheme val="minor"/>
      </rPr>
      <t xml:space="preserve">
The calculator assumes the Weights Proportional Shift is equal to the Payment Proportional Shift</t>
    </r>
    <r>
      <rPr>
        <sz val="11"/>
        <rFont val="Aptos Narrow"/>
        <family val="2"/>
        <scheme val="minor"/>
      </rPr>
      <t>.</t>
    </r>
  </si>
  <si>
    <t xml:space="preserve">The Weights Proportional Shift is the change in the hospital’s Ambulatory Payment Classification (APC) or MS-DRG weights, as a proportion of the total market area’s weights between the two time periods included in the MSA. Although CAHs are not paid using MS-DRGs, CMS assigns MS-DRG weights to these claims that can be used in the MSA. </t>
  </si>
  <si>
    <t>(C) Calculate the Market Shift Allowance</t>
  </si>
  <si>
    <r>
      <t xml:space="preserve">Enter the hospital's Gap Period Total FFS revenue for beneficiaries located in market area zip-codes, </t>
    </r>
    <r>
      <rPr>
        <i/>
        <sz val="11"/>
        <rFont val="Aptos Narrow"/>
        <family val="2"/>
        <scheme val="minor"/>
      </rPr>
      <t>multiplied by 2 due to the 6 month gap period</t>
    </r>
  </si>
  <si>
    <r>
      <rPr>
        <b/>
        <sz val="11"/>
        <color rgb="FF000000"/>
        <rFont val="Aptos Narrow"/>
        <family val="2"/>
        <scheme val="minor"/>
      </rPr>
      <t>Total Payments in Gap Period for all hospitals in the geographic market area</t>
    </r>
    <r>
      <rPr>
        <sz val="11"/>
        <color rgb="FF000000"/>
        <rFont val="Aptos Narrow"/>
        <family val="2"/>
        <scheme val="minor"/>
      </rPr>
      <t xml:space="preserve"> = Hospital Total Payments / Hospital Total Payments Proportion BY3
</t>
    </r>
    <r>
      <rPr>
        <i/>
        <sz val="11"/>
        <color rgb="FF000000"/>
        <rFont val="Aptos Narrow"/>
        <family val="2"/>
        <scheme val="minor"/>
      </rPr>
      <t>Estimated for the purpose of the calculator</t>
    </r>
  </si>
  <si>
    <t>The Funding Factor is a multiplier applied to the MSA Shift Allowance to recognize the costs for moving volume from one location to another. The factor is set to 80% to balance payment stability against the need to recognize changes in volume. CMS may revisit the value of the funding factor in the future.</t>
  </si>
  <si>
    <t>Funding Factor</t>
  </si>
  <si>
    <r>
      <t>State Growth Benchmark (</t>
    </r>
    <r>
      <rPr>
        <b/>
        <i/>
        <sz val="11"/>
        <rFont val="Aptos Narrow"/>
        <family val="2"/>
        <scheme val="minor"/>
      </rPr>
      <t>Estimated for purpose of the calculator tool)</t>
    </r>
  </si>
  <si>
    <t>The State Growth Benchmark recognizes growth from one year to the next. It is the AHEAD state or region wide trend factor applied to the MSA Shift Allowance.</t>
  </si>
  <si>
    <r>
      <rPr>
        <b/>
        <sz val="11"/>
        <rFont val="Aptos Narrow"/>
        <family val="2"/>
        <scheme val="minor"/>
      </rPr>
      <t>Market Shift Allowance</t>
    </r>
    <r>
      <rPr>
        <sz val="11"/>
        <rFont val="Aptos Narrow"/>
        <family val="2"/>
        <scheme val="minor"/>
      </rPr>
      <t xml:space="preserve"> = Gap Period Total Payments  for Market Area x Funding Factor x State Growth Benchmark</t>
    </r>
  </si>
  <si>
    <t>The MSA Shift Allowance is the maximum amount of dollars that can shift between Eligible Hospitals in the Hospital-Specific Market Area.</t>
  </si>
  <si>
    <t>(D) Calculate the Market Shift Adjustment (No Data Entry Required)</t>
  </si>
  <si>
    <r>
      <t xml:space="preserve">Weighted Proportional Shift </t>
    </r>
    <r>
      <rPr>
        <sz val="11"/>
        <rFont val="Aptos Narrow"/>
        <family val="2"/>
        <scheme val="minor"/>
      </rPr>
      <t>= (Total Payments Proportional Shift x 0.5) + (Weights Proportional Shift x 0.5)</t>
    </r>
  </si>
  <si>
    <t>The Weighted Proportional Shift recognizes both shifts in Hospital revenue and in Hospital weights equally.</t>
  </si>
  <si>
    <r>
      <t>Market Shift Adjustment</t>
    </r>
    <r>
      <rPr>
        <sz val="11"/>
        <rFont val="Aptos Narrow"/>
        <family val="2"/>
        <scheme val="minor"/>
      </rPr>
      <t xml:space="preserve"> = Market Shift Allowance x Proportional Shift</t>
    </r>
  </si>
  <si>
    <t>Each Participant Hospital’s MSA amount is the weighted proportional shift of Total Payments and weights multiplied by the MSA Shift Allowance.  For small hospitals an MSA floor of 0% is set. Small hospitals are those whose Year 2 Total Payments represent 2% or less of the AHEAD state’s or sub-state region’s total Year 2 Total Payments.</t>
  </si>
  <si>
    <t>Calculated Hospital Global Budget Adjusted for Volume</t>
  </si>
  <si>
    <t>HGB Baseline</t>
  </si>
  <si>
    <t xml:space="preserve">From Step 1. </t>
  </si>
  <si>
    <t>Market Shift Adjustment</t>
  </si>
  <si>
    <r>
      <t xml:space="preserve">HGB Adjusted for Volume </t>
    </r>
    <r>
      <rPr>
        <sz val="11"/>
        <color theme="1"/>
        <rFont val="Aptos Narrow"/>
        <family val="2"/>
        <scheme val="minor"/>
      </rPr>
      <t>= HGB Baseline + Market Shift Adjustment + Outlier Adjustment</t>
    </r>
  </si>
  <si>
    <t>Annual Payment Adjustment (First calculated in PY1)</t>
  </si>
  <si>
    <t>(A) Calculate the Annual Payment Adjustment Using the Case Adjusted Rate (Inpatient) or the WAACF (Outpatient)- (No Data Entry Required)</t>
  </si>
  <si>
    <t>Reimbursement for CAHs is based on reasonable costs instead of IPPS and OPPS, therefore the IPPS Hospital Market Basket serves as the basis to price adjust baseline payments to PY1 dollars</t>
  </si>
  <si>
    <t>For CAHs, the Hospital Market Basket serves as the basis to price adjust baseline payments to PY1 dollars. For the purpose of the calculator the Market Basket is set to 2%.</t>
  </si>
  <si>
    <t>Demographic Adjustment (First Calculated in PY1) Note: A single Demographic Adjustment Percentage is calculated across Inpatient and Outpatient</t>
  </si>
  <si>
    <t>(A) Collect Data on Top 3 Counties Served by Hospital</t>
  </si>
  <si>
    <r>
      <t xml:space="preserve">Enter the top 3 counties that the hospital served in BY3 - ranked by total (IP + OP) revenue
</t>
    </r>
    <r>
      <rPr>
        <i/>
        <sz val="11"/>
        <color theme="1"/>
        <rFont val="Aptos Narrow"/>
        <family val="2"/>
        <scheme val="minor"/>
      </rPr>
      <t>(The actual HGB calculation will consider all counties not just the top 3 served. For the purpose of the calculator please just share the top 3)</t>
    </r>
  </si>
  <si>
    <t>County #1</t>
  </si>
  <si>
    <r>
      <t>The Demographic Adjustment (DA) is measure</t>
    </r>
    <r>
      <rPr>
        <sz val="11"/>
        <rFont val="Aptos Narrow"/>
        <family val="2"/>
        <scheme val="minor"/>
      </rPr>
      <t>d at the county level. It adjusts HGBs by the weighted average percentage change in total HCC scores across all counties served by the Participant Hospital.</t>
    </r>
  </si>
  <si>
    <t>County #2</t>
  </si>
  <si>
    <t>County #3</t>
  </si>
  <si>
    <r>
      <t xml:space="preserve">Approximately what percentage of revenue in BY3 for the hospital comes from each of the 3 counties?
</t>
    </r>
    <r>
      <rPr>
        <i/>
        <sz val="11"/>
        <rFont val="Aptos Narrow"/>
        <family val="2"/>
        <scheme val="minor"/>
      </rPr>
      <t>(Note: The actual HGB calculation will consider revenue for all counties not just the top 3 served. For the purpose of the calculator, these do not need to add up to 100%)</t>
    </r>
  </si>
  <si>
    <t xml:space="preserve">The share of Medicare Total Payments  for Eligible Inpatient and Outpatient Hospital Services generated from each county served by the Participant Hospital is used to weight the demographic change that occurs between years. </t>
  </si>
  <si>
    <t>Beneficiary Hierarchical Condition Category (HCC) scores are used to account for both populations shifts and changes in beneficiary clinical and demographic risk. HCC scores are calculated by summing the HCC score for every Medicare beneficiary that resides in the county to represent the entire distribution of acuity. HCC scores incorporate data on beneficiary health condition(s) using the ICD-10 codes and demographic factors.</t>
  </si>
  <si>
    <r>
      <rPr>
        <b/>
        <sz val="11"/>
        <color theme="1"/>
        <rFont val="Aptos Narrow"/>
        <family val="2"/>
        <scheme val="minor"/>
      </rPr>
      <t>Example:</t>
    </r>
    <r>
      <rPr>
        <sz val="11"/>
        <color theme="1"/>
        <rFont val="Aptos Narrow"/>
        <family val="2"/>
        <scheme val="minor"/>
      </rPr>
      <t xml:space="preserve">
County A total HCC in BY2 = 73.7
Count A total HCC in BY3= 76.4
Percentage Change = (76.4 - 73.7) / 73.7 = 3.7%</t>
    </r>
  </si>
  <si>
    <r>
      <t xml:space="preserve">For each county, estimate the percentage change in total HCC scores between BY2 and BY3. Total HCC accounts for both population shifts and clinical and demographic risk changes.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</si>
  <si>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t>(B) Calculate the Demographic Adjustment - (No Data Entry required)</t>
  </si>
  <si>
    <r>
      <t xml:space="preserve">County A Weighted Adjustment = </t>
    </r>
    <r>
      <rPr>
        <sz val="11"/>
        <color theme="1"/>
        <rFont val="Aptos Narrow"/>
        <family val="2"/>
        <scheme val="minor"/>
      </rPr>
      <t>(County A Inpatient Revenue Percentage x County A HCC Percentage Change)</t>
    </r>
  </si>
  <si>
    <t>The DA is the average percentage change in total HCC scores across all counties served by each Participant Hospital weighted by the percentage of revenue its residents accounted for at the Participant Hospital.
The DA reflects changes in both the size (including shifts in enrollment between Fee-For-Service (FFS) and Medicare Advantage (MA) and medical risk of the population served by each Participant Hospital.</t>
  </si>
  <si>
    <r>
      <t xml:space="preserve">County B Weighted Adjustment = </t>
    </r>
    <r>
      <rPr>
        <sz val="11"/>
        <color theme="1"/>
        <rFont val="Aptos Narrow"/>
        <family val="2"/>
        <scheme val="minor"/>
      </rPr>
      <t>(County B Inpatient Revenue Percentage x County B HCC Percentage Change)</t>
    </r>
  </si>
  <si>
    <r>
      <t xml:space="preserve">County C Weighted Adjustment = </t>
    </r>
    <r>
      <rPr>
        <sz val="11"/>
        <color theme="1"/>
        <rFont val="Aptos Narrow"/>
        <family val="2"/>
        <scheme val="minor"/>
      </rPr>
      <t>(County C Inpatient Revenue Percentage x County C HCC Percentage Change)</t>
    </r>
  </si>
  <si>
    <r>
      <t xml:space="preserve">Demographic Adjustment = </t>
    </r>
    <r>
      <rPr>
        <sz val="11"/>
        <color theme="1"/>
        <rFont val="Aptos Narrow"/>
        <family val="2"/>
        <scheme val="minor"/>
      </rPr>
      <t>County A Weighted Adjustment + County B Weighted Adjustment + County C Weighted Adjustment)</t>
    </r>
  </si>
  <si>
    <t>Calculate Reflected FFS Revenue</t>
  </si>
  <si>
    <t>HGB Adjusted for Volume</t>
  </si>
  <si>
    <t xml:space="preserve">From Step 2. </t>
  </si>
  <si>
    <t>Annual Payment Adjustment</t>
  </si>
  <si>
    <t>Demographic Adjustment</t>
  </si>
  <si>
    <r>
      <t>Reflect FFS  Revenue =</t>
    </r>
    <r>
      <rPr>
        <sz val="11"/>
        <color theme="1"/>
        <rFont val="Aptos Narrow"/>
        <family val="2"/>
        <scheme val="minor"/>
      </rPr>
      <t xml:space="preserve"> HGB Adj for Volume x (1 + Annual Payment Adjustment) x (1 + Demographic Adjustment)</t>
    </r>
  </si>
  <si>
    <t>Social Risk Adjustment  (First calculated in PY1. Calculation Years Reflect PY1)</t>
  </si>
  <si>
    <t>(A) Approximate the hospital's beneficiary population social risk compared to other hospitals in the state</t>
  </si>
  <si>
    <t>Social risk is determined based on the Community Deprivation Index (CDI) and a combination of dual-eligibility and Part D Low Income Subsidy (LIS) referred to as the Low-Income Marker. To calculate a hospital's Social Risk Score (SRS):
1) First, beneficiary addresses are geocoded to a census block group. 
2) Next, the percentage of Total Payments for each hospital’s claims for beneficiaries living in each census block group is calculated to weigh the SRS by the geographic distribution of the hospital’s Medicare Total Payments.  
3) A weighted SRS is then calculated for a hospital based on the average beneficiary social risk score for the census block group and the percent of revenue that the census block group contributes to total hospital revenue. 
The CDI value for a hospital will not be lower than that determined in the SRA applied to PY1 to account for the possibility that a hospital may positively influence the community deprivation of local areas, and to not penalize them for doing so.</t>
  </si>
  <si>
    <r>
      <rPr>
        <sz val="11"/>
        <color theme="1"/>
        <rFont val="Aptos Narrow"/>
        <family val="2"/>
        <scheme val="minor"/>
      </rPr>
      <t xml:space="preserve">Based on the social risk of the beneficiary population in the geographic areas the hospital serves, within what percentile group do you believe the hospital would rank compared to other hospitals in the state in BY3? </t>
    </r>
    <r>
      <rPr>
        <b/>
        <sz val="11"/>
        <color theme="1"/>
        <rFont val="Aptos Narrow"/>
        <family val="2"/>
        <scheme val="minor"/>
      </rPr>
      <t xml:space="preserve">
</t>
    </r>
    <r>
      <rPr>
        <i/>
        <sz val="11"/>
        <color theme="3" tint="0.249977111117893"/>
        <rFont val="Aptos Narrow"/>
        <family val="2"/>
        <scheme val="minor"/>
      </rPr>
      <t>For example, selecting 80-89% means that the geographic areas the hospital serves have a higher social risk than at least 80% of other hospitals in the state.</t>
    </r>
  </si>
  <si>
    <t>Determine the Hospital Social Risk Adjustment Percentage Using Lookup Table - See 'SRA Look Up Table' tab.</t>
  </si>
  <si>
    <t>HGB after Social Risk Adjustment</t>
  </si>
  <si>
    <t>HGB Amount after Step 3</t>
  </si>
  <si>
    <t xml:space="preserve">From Step 3. </t>
  </si>
  <si>
    <r>
      <t>HGB After AHEAD Social Risk Adjustment=</t>
    </r>
    <r>
      <rPr>
        <sz val="11"/>
        <color theme="1"/>
        <rFont val="Aptos Narrow"/>
        <family val="2"/>
        <scheme val="minor"/>
      </rPr>
      <t xml:space="preserve"> HGB Amount after Step 3  + (SRA Percentage x HGB Amount after Step 3)</t>
    </r>
  </si>
  <si>
    <t>Effectiveness Adjustment (First Applied in PY3)</t>
  </si>
  <si>
    <t>(A) Approximate the hospital's potentially avoidable utilization payments</t>
  </si>
  <si>
    <t>Potentially Avoidable Utilization (PAU) is defined as a claim satisfying the criteria for at least one of the following measures:
    1.	 Readmissions (calculated by the CMS’ Hospital-Wide All-Cause Unplanned Readmission (HWR) measure)
    2.	 Avoidable Admissions (calculated by the AHRQ PQI-90 indicator) 
    3.	 Emergency Department Utilization (calculated by the NCQA Emergency Department Utilization (EDU) measure)</t>
  </si>
  <si>
    <r>
      <rPr>
        <b/>
        <sz val="11"/>
        <color rgb="FF242424"/>
        <rFont val="Aptos Narrow"/>
        <family val="2"/>
        <scheme val="minor"/>
      </rPr>
      <t>Enter the Hospital's Potentially Avoidable Utilization (PAU) Percent for the Base Year 1</t>
    </r>
    <r>
      <rPr>
        <sz val="11"/>
        <color rgb="FF242424"/>
        <rFont val="Aptos Narrow"/>
        <family val="2"/>
        <scheme val="minor"/>
      </rPr>
      <t xml:space="preserve">
</t>
    </r>
    <r>
      <rPr>
        <b/>
        <i/>
        <sz val="11"/>
        <color rgb="FF242424"/>
        <rFont val="Aptos Narrow"/>
        <family val="2"/>
        <scheme val="minor"/>
      </rPr>
      <t>PAU Percent</t>
    </r>
    <r>
      <rPr>
        <i/>
        <sz val="11"/>
        <color rgb="FF242424"/>
        <rFont val="Aptos Narrow"/>
        <family val="2"/>
        <scheme val="minor"/>
      </rPr>
      <t xml:space="preserve"> = Potentially Avoidable Utilization Payments / Total Hospital Revenue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</si>
  <si>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r>
      <t>Hospital Social Risk Score (</t>
    </r>
    <r>
      <rPr>
        <b/>
        <i/>
        <sz val="11"/>
        <color rgb="FF242424"/>
        <rFont val="Aptos Narrow"/>
        <family val="2"/>
        <scheme val="minor"/>
      </rPr>
      <t>Estimated based on percentile included in Social Risk Adjustment</t>
    </r>
    <r>
      <rPr>
        <b/>
        <sz val="11"/>
        <color rgb="FF242424"/>
        <rFont val="Aptos Narrow"/>
        <family val="2"/>
        <scheme val="minor"/>
      </rPr>
      <t>)</t>
    </r>
  </si>
  <si>
    <r>
      <rPr>
        <b/>
        <sz val="11"/>
        <color rgb="FF242424"/>
        <rFont val="Aptos Narrow"/>
        <family val="2"/>
        <scheme val="minor"/>
      </rPr>
      <t xml:space="preserve">Adjusted Hospital PAU Percent </t>
    </r>
    <r>
      <rPr>
        <sz val="11"/>
        <color rgb="FF242424"/>
        <rFont val="Aptos Narrow"/>
        <family val="2"/>
        <scheme val="minor"/>
      </rPr>
      <t>= Overall Hospital PAU Percent / Hospital Social Risk Score (SRS)</t>
    </r>
  </si>
  <si>
    <t>To account for the impact of differences in case mix, the PAU percent is divided by the hospital's SRS. This results in higher expected PAU values for Participant Hospitals with greater SRSs.</t>
  </si>
  <si>
    <t>(B) Determine Hospital Potentially Avoidable Utilization Percentile</t>
  </si>
  <si>
    <r>
      <t>PAU percentile compared to all hospitals in the state (</t>
    </r>
    <r>
      <rPr>
        <b/>
        <i/>
        <sz val="11"/>
        <color rgb="FF242424"/>
        <rFont val="Aptos Narrow"/>
        <family val="2"/>
        <scheme val="minor"/>
      </rPr>
      <t>Estimated based on the Adjusted Hospital PAU Percent).</t>
    </r>
  </si>
  <si>
    <t>The State PAU Percentile is calculated across all hospitals in the state, sorted in ascending order based on their PAU Percent.</t>
  </si>
  <si>
    <t>(C) Calculate the Effectiveness Adjustment (No Data Entry required)</t>
  </si>
  <si>
    <t>For hospitals below the 20th percentile of the State PAU Percentile, the EA is zero.  For all other hospitals an EA Adjustment is applied based on ranges or tiers of the EA Percentile. See Appendix EA Look up Table</t>
  </si>
  <si>
    <t>Hospital Effectiveness Adjustment - See 'EA Look Up Table</t>
  </si>
  <si>
    <t>Community Improvement Bonus (First Applied in PY4)</t>
  </si>
  <si>
    <t>(A) Calculate CMS Hybrid Hospital-Wide Readmission (Hybrid eHWR) Performance</t>
  </si>
  <si>
    <r>
      <rPr>
        <b/>
        <sz val="11"/>
        <color theme="6"/>
        <rFont val="Aptos Narrow"/>
        <family val="2"/>
        <scheme val="minor"/>
      </rPr>
      <t>Example:</t>
    </r>
    <r>
      <rPr>
        <sz val="11"/>
        <color theme="6"/>
        <rFont val="Aptos Narrow"/>
        <family val="2"/>
        <scheme val="minor"/>
      </rPr>
      <t xml:space="preserve">
Hybrid eHWR in BY3 = 15.67
Hybrid eHWR in PY2= 15.48
Percentage Change = ((15.48 - 15.67) / 15.67%) x -1 = 1.2</t>
    </r>
  </si>
  <si>
    <r>
      <rPr>
        <b/>
        <sz val="11"/>
        <rFont val="Aptos Narrow"/>
        <family val="2"/>
        <scheme val="minor"/>
      </rPr>
      <t>Enter the percentage change in performance on the Hybrid eHWR Measure between BY3 and PY2 (Please include the negative sign for decreases).</t>
    </r>
    <r>
      <rPr>
        <sz val="11"/>
        <rFont val="Aptos Narrow"/>
        <family val="2"/>
        <scheme val="minor"/>
      </rPr>
      <t xml:space="preserve">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</si>
  <si>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t xml:space="preserve">The eHWR is the predicted rate of readmission divided by the expected rate of readmissions for each Participant Hospital. </t>
  </si>
  <si>
    <r>
      <rPr>
        <b/>
        <sz val="11"/>
        <rFont val="Aptos Narrow"/>
        <family val="2"/>
        <scheme val="minor"/>
      </rPr>
      <t>Determine the Hospital SRS multiplier - See 'CIB Look up Table' tab.</t>
    </r>
    <r>
      <rPr>
        <sz val="11"/>
        <rFont val="Aptos Narrow"/>
        <family val="2"/>
        <scheme val="minor"/>
      </rPr>
      <t xml:space="preserve">
</t>
    </r>
    <r>
      <rPr>
        <i/>
        <sz val="11"/>
        <rFont val="Aptos Narrow"/>
        <family val="2"/>
        <scheme val="minor"/>
      </rPr>
      <t>The SRS percentile used is pulled from your entry in the SRA section above</t>
    </r>
    <r>
      <rPr>
        <sz val="11"/>
        <rFont val="Aptos Narrow"/>
        <family val="2"/>
        <scheme val="minor"/>
      </rPr>
      <t>.</t>
    </r>
  </si>
  <si>
    <t xml:space="preserve">To account for social risk, a social risk adjustment multiplier is added to both measures. A SRS percentile is estimated based on the data provided in the Social Risk Adjustment section. The greater the SRS multiplier, the greater the improvement rate for each quality measure and thus the greater the bonus.   </t>
  </si>
  <si>
    <r>
      <rPr>
        <b/>
        <sz val="11"/>
        <color rgb="FF242424"/>
        <rFont val="Aptos Narrow"/>
        <family val="2"/>
        <scheme val="minor"/>
      </rPr>
      <t>Overall Improvement Rate</t>
    </r>
    <r>
      <rPr>
        <sz val="11"/>
        <color rgb="FF242424"/>
        <rFont val="Aptos Narrow"/>
        <family val="2"/>
        <scheme val="minor"/>
      </rPr>
      <t xml:space="preserve"> = (Overall HWR Rate Improvement Percentage x SRS Multiplier) x -1</t>
    </r>
  </si>
  <si>
    <t>Determine the Hybrid eHWR CIB Scaling Percentage - See 'CIB Look up Table' tab.</t>
  </si>
  <si>
    <t xml:space="preserve">The bonus earned by Participant Hospitals is on a sliding scale of improvement. </t>
  </si>
  <si>
    <t>(B) Calculate PQI-90 Performance</t>
  </si>
  <si>
    <t xml:space="preserve">The PQI-90 is the portion of inpatient hospitalizations and observation stays that satisfy numerator criteria for the PQI-90 Prevention Quality Composite. </t>
  </si>
  <si>
    <r>
      <rPr>
        <b/>
        <sz val="11"/>
        <color theme="6"/>
        <rFont val="Aptos Narrow"/>
        <family val="2"/>
        <scheme val="minor"/>
      </rPr>
      <t>Example:</t>
    </r>
    <r>
      <rPr>
        <sz val="11"/>
        <color theme="6"/>
        <rFont val="Aptos Narrow"/>
        <family val="2"/>
        <scheme val="minor"/>
      </rPr>
      <t xml:space="preserve">
PQI-90 in BY3 = 12.70%
PQI-90 in PY2 = 11.89%
Percentage Change = ((11.89% - 12.70%) / 12.70%) x -1 = 6.4%</t>
    </r>
  </si>
  <si>
    <r>
      <rPr>
        <b/>
        <sz val="11"/>
        <color theme="1"/>
        <rFont val="Aptos Narrow"/>
        <family val="2"/>
        <scheme val="minor"/>
      </rPr>
      <t xml:space="preserve">Estimate the percentage change in performance on the PQI-90 Measure between BY3 and PY2. </t>
    </r>
    <r>
      <rPr>
        <i/>
        <sz val="11"/>
        <color rgb="FF0070C0"/>
        <rFont val="Aptos Narrow"/>
        <family val="2"/>
        <scheme val="minor"/>
      </rPr>
      <t xml:space="preserve">The dropdown presents general options for you to choose from. If you would like to enter your own data, you can ignore the dropdown and enter a percent into the blue cell. </t>
    </r>
  </si>
  <si>
    <r>
      <t xml:space="preserve">Determine the Hospital SRS multiplier by Using Lookup Table - See 'CIB Look up Table' tab.
</t>
    </r>
    <r>
      <rPr>
        <i/>
        <sz val="11"/>
        <color theme="1"/>
        <rFont val="Aptos Narrow"/>
        <family val="2"/>
        <scheme val="minor"/>
      </rPr>
      <t>The SRS percentile used is pulled from your entry in the SRA section above.</t>
    </r>
  </si>
  <si>
    <r>
      <rPr>
        <b/>
        <sz val="11"/>
        <color rgb="FF242424"/>
        <rFont val="Aptos Narrow"/>
        <family val="2"/>
        <scheme val="minor"/>
      </rPr>
      <t xml:space="preserve">Overall Improvement Rate = </t>
    </r>
    <r>
      <rPr>
        <sz val="11"/>
        <color rgb="FF242424"/>
        <rFont val="Aptos Narrow"/>
        <family val="2"/>
        <scheme val="minor"/>
      </rPr>
      <t>Overall PQI-90 Rate Improvement Percentage x SRS Multiplier</t>
    </r>
  </si>
  <si>
    <t>Determine the PQI-90 CIB Scaling Percentage - See 'CIB Look up Table' tab.</t>
  </si>
  <si>
    <t>(C) Calculate the Total CIB Earned (No Data Entry Required)</t>
  </si>
  <si>
    <r>
      <rPr>
        <b/>
        <sz val="11"/>
        <color rgb="FF242424"/>
        <rFont val="Aptos Narrow"/>
        <family val="2"/>
        <scheme val="minor"/>
      </rPr>
      <t>Community Improvement Bonus</t>
    </r>
    <r>
      <rPr>
        <sz val="11"/>
        <color rgb="FF242424"/>
        <rFont val="Aptos Narrow"/>
        <family val="2"/>
        <scheme val="minor"/>
      </rPr>
      <t xml:space="preserve"> = Hybrid eHWR Scaling Percentage + PQI-90 Scaling Percentage</t>
    </r>
  </si>
  <si>
    <t>The total CIB is the sum of the Hybrid eHWR scaling percentage and the CIB scaling percentage</t>
  </si>
  <si>
    <t>Total Cost of Care Adjustment (First Applied in PY4)</t>
  </si>
  <si>
    <t>(A) Calculate the Risk Adjusted Attributed PBPM TCOC for PY1</t>
  </si>
  <si>
    <t xml:space="preserve">For each Participant Hospital, a Risk Adjusted Attributed PBPM TCOC is calculated based on the same zip codes as the Market Shift Adjustment. TCOC is weighted across the zip codes based on the share of inpatient and outpatient services the Participant Hospital provides to each zip code. It is then risk adjusted using the average HCC scores for beneficiaries in the Participant Hospital's market. </t>
  </si>
  <si>
    <r>
      <rPr>
        <b/>
        <sz val="11"/>
        <rFont val="Aptos Narrow"/>
        <family val="2"/>
        <scheme val="minor"/>
      </rPr>
      <t>Enter the Risk Attributed Per Beneficiary per Month TCOC for PY1</t>
    </r>
    <r>
      <rPr>
        <sz val="11"/>
        <rFont val="Aptos Narrow"/>
        <family val="2"/>
        <scheme val="minor"/>
      </rPr>
      <t xml:space="preserve">
</t>
    </r>
    <r>
      <rPr>
        <b/>
        <sz val="11"/>
        <rFont val="Aptos Narrow"/>
        <family val="2"/>
        <scheme val="minor"/>
      </rPr>
      <t xml:space="preserve">Risk Adjusted Attributed PBPM TCOC for PY1 </t>
    </r>
    <r>
      <rPr>
        <sz val="11"/>
        <rFont val="Aptos Narrow"/>
        <family val="2"/>
        <scheme val="minor"/>
      </rPr>
      <t>= Attributed PBPM TCOC / Weighted Average Geographic Area Risk Score</t>
    </r>
  </si>
  <si>
    <t>(B) Calculate the Hospital's Target PBPM TCOC for PY2 (No Data Entry Required)</t>
  </si>
  <si>
    <t>To calculate the State Growth Benchmark, the Annual Growth Factor is first calculated and is the weighted average of the FFS non-ESRD Part A and B United States Per Capita Cost (USPCC) growth rate and AHEAD Accountable Care Prospective Trend (ACPT). The State Growth Benchmark is the Annual Growth Factor re-weighted with two-thirds weight placed on the Annual Growth Factor directly and one-third placed on a state PBPY normalized Annual Growth Factor.</t>
  </si>
  <si>
    <r>
      <rPr>
        <b/>
        <sz val="11"/>
        <color theme="1"/>
        <rFont val="Aptos Narrow"/>
        <family val="2"/>
        <scheme val="minor"/>
      </rPr>
      <t xml:space="preserve">State Growth Benchmark </t>
    </r>
    <r>
      <rPr>
        <sz val="11"/>
        <color theme="1"/>
        <rFont val="Aptos Narrow"/>
        <family val="2"/>
        <scheme val="minor"/>
      </rPr>
      <t>(</t>
    </r>
    <r>
      <rPr>
        <i/>
        <sz val="11"/>
        <color theme="1"/>
        <rFont val="Aptos Narrow"/>
        <family val="2"/>
        <scheme val="minor"/>
      </rPr>
      <t>Estimated for purpose of calculator)</t>
    </r>
  </si>
  <si>
    <r>
      <t xml:space="preserve">Target PBPM TCOC </t>
    </r>
    <r>
      <rPr>
        <sz val="11"/>
        <color rgb="FF242424"/>
        <rFont val="Aptos Narrow"/>
        <family val="2"/>
        <scheme val="minor"/>
      </rPr>
      <t>= Risk Adj Attributed PBPM TCOC for PY1 x State Growth Benchmark</t>
    </r>
  </si>
  <si>
    <t>(C) Enter the hospitals Percent Difference in PY2 PBPM TCOC &amp; Target PBPM TCOC</t>
  </si>
  <si>
    <t>For each Participant Hospital, a Risk Adjusted Attributed PBPM TCOC is calculated for PY2. This value is compared against the Target PBPM TCOC, to evaluate whether the Participant Hospital over or underperformed relative to their target.</t>
  </si>
  <si>
    <r>
      <rPr>
        <b/>
        <sz val="11"/>
        <rFont val="Aptos Narrow"/>
        <family val="2"/>
        <scheme val="minor"/>
      </rPr>
      <t>Enter the hospital's performance relative to the target TCOC
% Difference in PY2 PBPM TCOC &amp; Target PBPM TCOC =</t>
    </r>
    <r>
      <rPr>
        <sz val="11"/>
        <rFont val="Aptos Narrow"/>
        <family val="2"/>
        <scheme val="minor"/>
      </rPr>
      <t xml:space="preserve"> ((Risk Adj Attributed PBPM TCOC - Target PBPM) / Target PBPM) x -1 </t>
    </r>
  </si>
  <si>
    <t>(D) Calculate the TCOC Adjustment (No Data Entry Required)</t>
  </si>
  <si>
    <t>Scaling Factor </t>
  </si>
  <si>
    <t>Participant Hospitals with a difference of greater than two percent (plus or minus) receive an adjustment equal to 20 percent of the percentage difference.  This approach recognizes true differences in performance (e.g., those outside of normal variation) and limits risk to Participant Hospitals. For ACHs, TCOC Adjustment is upside only in PY4, then becomes bi-directional in PY5.</t>
  </si>
  <si>
    <r>
      <rPr>
        <b/>
        <sz val="11"/>
        <rFont val="Aptos Narrow"/>
        <family val="2"/>
        <scheme val="minor"/>
      </rPr>
      <t>TCOC Adjustment Percentage</t>
    </r>
    <r>
      <rPr>
        <sz val="11"/>
        <rFont val="Aptos Narrow"/>
        <family val="2"/>
        <scheme val="minor"/>
      </rPr>
      <t xml:space="preserve"> = -1 x Percent Difference in Target and Actual TCOC x Scaling Factor</t>
    </r>
    <r>
      <rPr>
        <i/>
        <sz val="11"/>
        <rFont val="Aptos Narrow"/>
        <family val="2"/>
        <scheme val="minor"/>
      </rPr>
      <t xml:space="preserve">
Hospitals only receive a TCOC Adjustment if the Percent Difference in Target and Actual TCOC is greater or less than 2%</t>
    </r>
  </si>
  <si>
    <t>Transformation Initiative Adjustment (First Applied in PY1)</t>
  </si>
  <si>
    <t>Transformation Incentive Adjustment (TIA)</t>
  </si>
  <si>
    <r>
      <t>CMS will include a one percent upward TIA in the first two PYs.  The TIA serves as both an incentive for early participation and provides additional revenue that hospitals may invest in care management and transformation activities.</t>
    </r>
    <r>
      <rPr>
        <sz val="11"/>
        <color rgb="FFFF0000"/>
        <rFont val="Aptos Narrow"/>
        <family val="2"/>
        <scheme val="minor"/>
      </rPr>
      <t xml:space="preserve"> </t>
    </r>
  </si>
  <si>
    <t>HGB with AHEAD Annual and Performance Adjustments</t>
  </si>
  <si>
    <t>HGB after Annual Updates</t>
  </si>
  <si>
    <t>Effectiveness Adjustment</t>
  </si>
  <si>
    <t>CAH Quality Adjustment</t>
  </si>
  <si>
    <t>Community Improvement Bonus</t>
  </si>
  <si>
    <t>Total Cost of Care Adjustment</t>
  </si>
  <si>
    <t>Transformation Incentive Adjustment</t>
  </si>
  <si>
    <t>HGB with Annual and Performance Adjustments</t>
  </si>
  <si>
    <t>PAU Dropdowns</t>
  </si>
  <si>
    <t>PAU %</t>
  </si>
  <si>
    <t>Old</t>
  </si>
  <si>
    <t>Low (6%)</t>
  </si>
  <si>
    <t>Hospital state</t>
  </si>
  <si>
    <t>Somewhat Low (8%)</t>
  </si>
  <si>
    <t>Average (10%)</t>
  </si>
  <si>
    <t>Somewhat High (12%)</t>
  </si>
  <si>
    <t>https://uslewincollabsvcs.sharepoint.com/:x:/r/sites/AHEAD/Shared%20Documents/Task%201.%20Hospital%20Global%20Budgets/Analysis/Effectiveness%20Adjustment/Effectiveness%20Adjustment%20Sample%20Calc%20Rescaling.xlsx?d=wd42ac62428d84182a512ab3def21cb68&amp;csf=1&amp;web=1&amp;e=jDdsXL</t>
  </si>
  <si>
    <t>High (14%)</t>
  </si>
  <si>
    <t>PAU Percentile Look Up</t>
  </si>
  <si>
    <t>0-19%</t>
  </si>
  <si>
    <t>20-49%</t>
  </si>
  <si>
    <t>50-79%</t>
  </si>
  <si>
    <t>80-100%</t>
  </si>
  <si>
    <t>SRS Percentile</t>
  </si>
  <si>
    <t xml:space="preserve">Approx MD </t>
  </si>
  <si>
    <t>Approx RI</t>
  </si>
  <si>
    <t>Approx VT</t>
  </si>
  <si>
    <t>Approx CT</t>
  </si>
  <si>
    <t>Approx NY</t>
  </si>
  <si>
    <t>Approx HI</t>
  </si>
  <si>
    <t>0-9%</t>
  </si>
  <si>
    <t>10-19%</t>
  </si>
  <si>
    <t>20-29%</t>
  </si>
  <si>
    <t>30-39%</t>
  </si>
  <si>
    <t>40-49%</t>
  </si>
  <si>
    <t>50-59%</t>
  </si>
  <si>
    <t>60-69%</t>
  </si>
  <si>
    <t>70-79%</t>
  </si>
  <si>
    <t>80-89%</t>
  </si>
  <si>
    <t>90-100%</t>
  </si>
  <si>
    <t>Hybrid eHWR Dropdowns</t>
  </si>
  <si>
    <t>Hybrid eHWR Percent Change</t>
  </si>
  <si>
    <t>old</t>
  </si>
  <si>
    <t>Increase (0.06%)</t>
  </si>
  <si>
    <t>Minor Increase (0.03%)</t>
  </si>
  <si>
    <t>No change (0%)</t>
  </si>
  <si>
    <t>change to .1, .05</t>
  </si>
  <si>
    <t>Minor Decline (-0.03%)</t>
  </si>
  <si>
    <t>???</t>
  </si>
  <si>
    <t xml:space="preserve">Decline (-0.06%) </t>
  </si>
  <si>
    <t>PQI-90 Dropdowns</t>
  </si>
  <si>
    <t>PQI-90 Percent Change</t>
  </si>
  <si>
    <t>Increase (0.20%)</t>
  </si>
  <si>
    <t>Slight Increase (0.10%)</t>
  </si>
  <si>
    <t>Slight Decline (-0.10%)</t>
  </si>
  <si>
    <t xml:space="preserve">Decline (-0.20%) </t>
  </si>
  <si>
    <t>TCOC Y1 PBPM Dropdowns</t>
  </si>
  <si>
    <t>PBPM TCOC</t>
  </si>
  <si>
    <t>Low Risk Adjusted PBPM ($800)</t>
  </si>
  <si>
    <t>Somewhat Low Risk Adjusted PBPM ($900)</t>
  </si>
  <si>
    <t>Typical Risk Adjusted PBPM ($1,000)</t>
  </si>
  <si>
    <t>Somewhat High Risk Adjusted PBPM ($1,150)</t>
  </si>
  <si>
    <t>High Risk Adjusted PBPM ($1,200)</t>
  </si>
  <si>
    <t>TCOC Y1 PBPM Change Dropdowns</t>
  </si>
  <si>
    <t>PBPM TCOC Change</t>
  </si>
  <si>
    <t>Above Target (5%)</t>
  </si>
  <si>
    <t>Slightly Above Target (2.5%)</t>
  </si>
  <si>
    <t>At Target (0%)</t>
  </si>
  <si>
    <t>Slightly Under Target (-2.5%)</t>
  </si>
  <si>
    <t xml:space="preserve">Under Target (-5%) </t>
  </si>
  <si>
    <t>HCC Dropdowns</t>
  </si>
  <si>
    <t>HCC Percent Change</t>
  </si>
  <si>
    <t>Increase (2.5%)</t>
  </si>
  <si>
    <t>Slight Increase (1%)</t>
  </si>
  <si>
    <t>Slight Decrease (-1%)</t>
  </si>
  <si>
    <t xml:space="preserve">Decrease (-2.5%) </t>
  </si>
  <si>
    <t>(A) Hospital CCN (from Step 1)</t>
  </si>
  <si>
    <t>Domain</t>
  </si>
  <si>
    <t>Measure</t>
  </si>
  <si>
    <t>Base Period</t>
  </si>
  <si>
    <t xml:space="preserve">Performance Period Result </t>
  </si>
  <si>
    <t>Measure Threshold</t>
  </si>
  <si>
    <t>Benchmark</t>
  </si>
  <si>
    <t>Attainment Points</t>
  </si>
  <si>
    <t>Improvement Points</t>
  </si>
  <si>
    <t>Achievement Points</t>
  </si>
  <si>
    <t>National Floor (HCAHPS only)</t>
  </si>
  <si>
    <t xml:space="preserve">HCAHPS Consistency Points </t>
  </si>
  <si>
    <t>CAH Quality looks across 3 Domains of Hospital Quality Program Measures, with each weighted as follows when calculating the final Adjustment.
-	Healthcare Quality &amp; Utilization:  34%
-	Patient Safety:  33%
-	Patient Experience:  33%</t>
  </si>
  <si>
    <r>
      <t xml:space="preserve">Each Domain is comprised of multiple measures.  Performance is calculated at the measure level before a Domain Score is calculated.
</t>
    </r>
    <r>
      <rPr>
        <b/>
        <sz val="10"/>
        <color theme="1"/>
        <rFont val="Aptos Narrow"/>
        <family val="2"/>
        <scheme val="minor"/>
      </rPr>
      <t xml:space="preserve">Note: </t>
    </r>
    <r>
      <rPr>
        <sz val="10"/>
        <color theme="1"/>
        <rFont val="Aptos Narrow"/>
        <family val="2"/>
        <scheme val="minor"/>
      </rPr>
      <t xml:space="preserve">For some Measures a lower score is better whereas for others a higher score is better. 
^ Indicates higher scores are better
* Indicates lower scores are better
</t>
    </r>
    <r>
      <rPr>
        <i/>
        <sz val="10"/>
        <rFont val="Aptos Narrow"/>
        <family val="2"/>
        <scheme val="minor"/>
      </rPr>
      <t xml:space="preserve">Hospital-level results for the Emergency Transfer Communication Measure are not publicly available. Users can enter their own data to test impact on the calculation or select "Not Reported". </t>
    </r>
  </si>
  <si>
    <r>
      <rPr>
        <b/>
        <sz val="10"/>
        <rFont val="Aptos Narrow"/>
        <family val="2"/>
        <scheme val="minor"/>
      </rPr>
      <t xml:space="preserve">Enter the Base Period score for each dimension in the blue cell. This will populate the associated value in the yellow cell.
</t>
    </r>
    <r>
      <rPr>
        <sz val="10"/>
        <rFont val="Aptos Narrow"/>
        <family val="2"/>
        <scheme val="minor"/>
      </rPr>
      <t xml:space="preserve">
To use the actual value from 2022, select 'Actual' from the dropdown. 
To default to Not Reported select 'Not Reported' in the dropdown.
If you'd like to enter in your own value, enter that value into the blue cell.
</t>
    </r>
    <r>
      <rPr>
        <i/>
        <sz val="10"/>
        <rFont val="Aptos Narrow"/>
        <family val="2"/>
        <scheme val="minor"/>
      </rPr>
      <t xml:space="preserve">
Hospital-level results for the Emergency Transfer Communication Measure were not publicly available. All data is approximated based on National performance in 2022. From the dropdown, select an option based on the hospital's performance or an approximated result. </t>
    </r>
  </si>
  <si>
    <r>
      <t xml:space="preserve">Enter the Score Improvement or Decline in Improvement between the Base Period and Performance Year in the blue cell.
</t>
    </r>
    <r>
      <rPr>
        <sz val="10"/>
        <rFont val="Aptos Narrow"/>
        <family val="2"/>
        <scheme val="minor"/>
      </rPr>
      <t>The dropdown presents general options for you to choose from. You can also use the dropdown to use the actual change between 2022 and 2023.
If you would like to enter your own data, you can ignore the dropdown and enter a specific value.</t>
    </r>
    <r>
      <rPr>
        <b/>
        <sz val="10"/>
        <rFont val="Aptos Narrow"/>
        <family val="2"/>
        <scheme val="minor"/>
      </rPr>
      <t xml:space="preserve">
</t>
    </r>
    <r>
      <rPr>
        <i/>
        <sz val="10"/>
        <rFont val="Aptos Narrow"/>
        <family val="2"/>
        <scheme val="minor"/>
      </rPr>
      <t>Hospital-level results for the Emergency Transfer Communication Measure were not publicly available. All data is approximated based on National performance in 2022.</t>
    </r>
  </si>
  <si>
    <r>
      <t xml:space="preserve">Median measure score of CAHs nationally in the CAH quality base period 
</t>
    </r>
    <r>
      <rPr>
        <i/>
        <sz val="10"/>
        <rFont val="Aptos Narrow"/>
        <family val="2"/>
        <scheme val="minor"/>
      </rPr>
      <t>Threshold estimated using 2023 results from the Provider Data Catalog. The threshold is subject to change.</t>
    </r>
  </si>
  <si>
    <r>
      <t xml:space="preserve">Mean of top decile score of CAHs nationally in the CAH quality base period
</t>
    </r>
    <r>
      <rPr>
        <i/>
        <sz val="10"/>
        <color theme="1"/>
        <rFont val="Aptos Narrow"/>
        <family val="2"/>
        <scheme val="minor"/>
      </rPr>
      <t>Benchmark estimated using 2023 results from the Provider Data Catalog. The benchmark is subject to change.</t>
    </r>
  </si>
  <si>
    <r>
      <rPr>
        <b/>
        <sz val="10"/>
        <rFont val="Aptos Narrow"/>
        <family val="2"/>
        <scheme val="minor"/>
      </rPr>
      <t xml:space="preserve">Attainment Points: </t>
    </r>
    <r>
      <rPr>
        <sz val="10"/>
        <rFont val="Aptos Narrow"/>
        <family val="2"/>
        <scheme val="minor"/>
      </rPr>
      <t xml:space="preserve">Hospital’s performance compared to the national threshold and benchmark between 0-10.
If Greater than Benchmark = 10 pts
If Less than Threshold = 0 Points
If Between Benchmark and Threshold = (9*((Perf. Period Result - Threshold)/(Benchmark - Threshold) ) + 0.5
</t>
    </r>
    <r>
      <rPr>
        <i/>
        <sz val="10"/>
        <rFont val="Aptos Narrow"/>
        <family val="2"/>
        <scheme val="minor"/>
      </rPr>
      <t>This result is rounded to the nearest whole number.</t>
    </r>
    <r>
      <rPr>
        <sz val="10"/>
        <rFont val="Aptos Narrow"/>
        <family val="2"/>
        <scheme val="minor"/>
      </rPr>
      <t xml:space="preserve">
</t>
    </r>
    <r>
      <rPr>
        <b/>
        <sz val="10"/>
        <rFont val="Aptos Narrow"/>
        <family val="2"/>
        <scheme val="minor"/>
      </rPr>
      <t xml:space="preserve">Improvement Points: </t>
    </r>
    <r>
      <rPr>
        <sz val="10"/>
        <rFont val="Aptos Narrow"/>
        <family val="2"/>
        <scheme val="minor"/>
      </rPr>
      <t xml:space="preserve">Hospital performance compared to its CAH quality base period performance and the national benchmark between 0-9.
If Greater than Benchmark = 9 Points
If Less than Threshold = 0 Points
If Between Benchmark and Threshold = (10*((Perf. Period Result - Base Period Result)/ (Benchmark - Base Period Result)) - 0.5
</t>
    </r>
    <r>
      <rPr>
        <i/>
        <sz val="10"/>
        <rFont val="Aptos Narrow"/>
        <family val="2"/>
        <scheme val="minor"/>
      </rPr>
      <t>This result is rounded to the nearest whole number.</t>
    </r>
    <r>
      <rPr>
        <sz val="10"/>
        <rFont val="Aptos Narrow"/>
        <family val="2"/>
        <scheme val="minor"/>
      </rPr>
      <t xml:space="preserve">
</t>
    </r>
    <r>
      <rPr>
        <b/>
        <sz val="10"/>
        <rFont val="Aptos Narrow"/>
        <family val="2"/>
        <scheme val="minor"/>
      </rPr>
      <t xml:space="preserve">Achievement Points: </t>
    </r>
    <r>
      <rPr>
        <sz val="10"/>
        <rFont val="Aptos Narrow"/>
        <family val="2"/>
        <scheme val="minor"/>
      </rPr>
      <t>Better of Improvement or Attainment Points</t>
    </r>
    <r>
      <rPr>
        <b/>
        <sz val="10"/>
        <rFont val="Aptos Narrow"/>
        <family val="2"/>
        <scheme val="minor"/>
      </rPr>
      <t xml:space="preserve">
</t>
    </r>
    <r>
      <rPr>
        <sz val="10"/>
        <rFont val="Aptos Narrow"/>
        <family val="2"/>
        <scheme val="minor"/>
      </rPr>
      <t>Attainment Points or Improvement Points, Whichever is Greater</t>
    </r>
  </si>
  <si>
    <r>
      <rPr>
        <b/>
        <sz val="10"/>
        <color theme="1"/>
        <rFont val="Aptos Narrow"/>
        <family val="2"/>
        <scheme val="minor"/>
      </rPr>
      <t xml:space="preserve">National Measure Floor: </t>
    </r>
    <r>
      <rPr>
        <sz val="10"/>
        <color theme="1"/>
        <rFont val="Aptos Narrow"/>
        <family val="2"/>
        <scheme val="minor"/>
      </rPr>
      <t>Lowest measure score of CAHs nationally in the CAH quality base period</t>
    </r>
    <r>
      <rPr>
        <b/>
        <sz val="10"/>
        <color theme="1"/>
        <rFont val="Aptos Narrow"/>
        <family val="2"/>
        <scheme val="minor"/>
      </rPr>
      <t xml:space="preserve">
HCAHPS Consistency Points: </t>
    </r>
    <r>
      <rPr>
        <sz val="10"/>
        <color theme="1"/>
        <rFont val="Aptos Narrow"/>
        <family val="2"/>
        <scheme val="minor"/>
      </rPr>
      <t>Compares hospital’s lowest scoring HCAHPS dimension to the threshold and awards Consistency Points based on that dimension’s score vs. the national measure floor. Consistency Points range from 0 – 20 points.
If Greater than Benchmark = 20 pts
If Less than Threshold = 0 Points
If Between Benchmark and Threshold = (20*((Perf. Period Score - NTL. Floor)/ (Threshold - NTL. Floor)) - 0.5</t>
    </r>
  </si>
  <si>
    <t>Healthcare Quality and Utilization</t>
  </si>
  <si>
    <t>Hospital-Wide Readmissions (proxy for Hybrid eHWR)*</t>
  </si>
  <si>
    <t>Actual</t>
  </si>
  <si>
    <t>N/A</t>
  </si>
  <si>
    <t>0-100</t>
  </si>
  <si>
    <t>Emergency Transfer Communication Measure^</t>
  </si>
  <si>
    <t>Not Reported</t>
  </si>
  <si>
    <t>ED Arrival Time to Departure Time for Discharged Patients*</t>
  </si>
  <si>
    <t>minutes</t>
  </si>
  <si>
    <t>Patient Safety</t>
  </si>
  <si>
    <t>NSHN Clostridium Difficile*</t>
  </si>
  <si>
    <t>weird scale</t>
  </si>
  <si>
    <t>Safe Use of Opioids – Concurrent Prescribing*</t>
  </si>
  <si>
    <t>??</t>
  </si>
  <si>
    <t>Sepsis Bundle^</t>
  </si>
  <si>
    <t>Venous Thromboembolism Prophylaxis^</t>
  </si>
  <si>
    <t>Severe Obstetrics Complications*</t>
  </si>
  <si>
    <t>Patient Experience</t>
  </si>
  <si>
    <t>HCAHPS Communication with Nurses^</t>
  </si>
  <si>
    <t>HCAHPS Communication with Doctors^</t>
  </si>
  <si>
    <t>HCAHPS Responsive-ness of Hospital Staff^</t>
  </si>
  <si>
    <t>HCAHPS Communication about Medicines^</t>
  </si>
  <si>
    <t>HCAHPS Discharge Information^</t>
  </si>
  <si>
    <t>HCAHPS Care Transition Measure^</t>
  </si>
  <si>
    <t>HCAHPS Overall Rating of this Hospital^</t>
  </si>
  <si>
    <t>HCAHPS Cleanliness and Quietness of Hospital Env^</t>
  </si>
  <si>
    <t xml:space="preserve">(A) Enter the Performance Year </t>
  </si>
  <si>
    <t>(B) Calculate Total Performance Score (No Data Entry Required)</t>
  </si>
  <si>
    <t>Domain Measures Reported</t>
  </si>
  <si>
    <t xml:space="preserve">Domain Achievement Points </t>
  </si>
  <si>
    <t>Domain Consistency Points</t>
  </si>
  <si>
    <t xml:space="preserve">Domain Score </t>
  </si>
  <si>
    <t>Total Performance Score</t>
  </si>
  <si>
    <r>
      <rPr>
        <b/>
        <sz val="10"/>
        <rFont val="Aptos Narrow"/>
        <family val="2"/>
        <scheme val="minor"/>
      </rPr>
      <t xml:space="preserve">Domain Measures Reported  = </t>
    </r>
    <r>
      <rPr>
        <sz val="10"/>
        <rFont val="Aptos Narrow"/>
        <family val="2"/>
        <scheme val="minor"/>
      </rPr>
      <t>Sum of Reported Measures within the Domain
CAHs must report at least one measure in each Domain to receive a Pay-for-Reporting reward and must report at least one measure in two of three Domains to receive a Pay-for-Performance reward.</t>
    </r>
  </si>
  <si>
    <r>
      <rPr>
        <b/>
        <sz val="10"/>
        <rFont val="Aptos Narrow"/>
        <family val="2"/>
        <scheme val="minor"/>
      </rPr>
      <t xml:space="preserve">Domain Achievement Points = </t>
    </r>
    <r>
      <rPr>
        <sz val="10"/>
        <rFont val="Aptos Narrow"/>
        <family val="2"/>
        <scheme val="minor"/>
      </rPr>
      <t>Sum of Achievement Points for each measure within the domain</t>
    </r>
  </si>
  <si>
    <r>
      <rPr>
        <b/>
        <sz val="10"/>
        <rFont val="Aptos Narrow"/>
        <family val="2"/>
        <scheme val="minor"/>
      </rPr>
      <t xml:space="preserve">Consistency Points = </t>
    </r>
    <r>
      <rPr>
        <sz val="10"/>
        <rFont val="Aptos Narrow"/>
        <family val="2"/>
        <scheme val="minor"/>
      </rPr>
      <t>The minimum Dimension Consistency Points score from the Patient Experience Domain.</t>
    </r>
  </si>
  <si>
    <r>
      <rPr>
        <b/>
        <sz val="10"/>
        <rFont val="Aptos Narrow"/>
        <family val="2"/>
        <scheme val="minor"/>
      </rPr>
      <t xml:space="preserve">Domain Score = </t>
    </r>
    <r>
      <rPr>
        <sz val="10"/>
        <rFont val="Aptos Narrow"/>
        <family val="2"/>
        <scheme val="minor"/>
      </rPr>
      <t>Sum of Domain Score Achievement Points divided by total possible points (10 points per included measure) in each domain. 
For the Patient Experience Domain, the minimum Consistency Points score divided by 20 is added to the Domain Score.</t>
    </r>
  </si>
  <si>
    <r>
      <rPr>
        <b/>
        <sz val="10"/>
        <rFont val="Aptos Narrow"/>
        <family val="2"/>
        <scheme val="minor"/>
      </rPr>
      <t>Total Performance Score</t>
    </r>
    <r>
      <rPr>
        <sz val="10"/>
        <rFont val="Aptos Narrow"/>
        <family val="2"/>
        <scheme val="minor"/>
      </rPr>
      <t xml:space="preserve"> = Weighted average of each Domain Score.
-Healthcare Quality &amp; Utilization:  34%
-	Patient Safety:  33%
-	Patient Experience:  33%
A minimum of 2 domains is required to calculate a Total Performance Score. </t>
    </r>
  </si>
  <si>
    <t>(C) Calculate the Pay-For-Reporting Quality Adjustment (No Data Entry Required)</t>
  </si>
  <si>
    <t xml:space="preserve">A hospital qualifies for the full upside-only pay-to-report reward if it reports at least one quality measure in all three domains.  Hospitals that do not meet this reporting threshold are not eligible for the pay-to-report reward.  </t>
  </si>
  <si>
    <t>(D) Calculate the Pay-For-Performance Quality Adjustment (No Data Entry Required)</t>
  </si>
  <si>
    <t>Benchmark Total Performance Score (BTPS)</t>
  </si>
  <si>
    <t>Benchmark Total Performance Score (BTPS) and Threshold Total Performance Score (TTPS) are estimates based on national historical data and are used for illustrative purposes only.</t>
  </si>
  <si>
    <t>Threshold Total Performance Score (TTPS)</t>
  </si>
  <si>
    <r>
      <t xml:space="preserve">Pay-for-Performance Reward </t>
    </r>
    <r>
      <rPr>
        <i/>
        <sz val="11"/>
        <rFont val="Aptos Narrow"/>
        <family val="2"/>
        <scheme val="minor"/>
      </rPr>
      <t>(PY5-PY8 only)</t>
    </r>
    <r>
      <rPr>
        <b/>
        <sz val="11"/>
        <rFont val="Aptos Narrow"/>
        <family val="2"/>
        <scheme val="minor"/>
      </rPr>
      <t xml:space="preserve"> </t>
    </r>
    <r>
      <rPr>
        <sz val="11"/>
        <rFont val="Aptos Narrow"/>
        <family val="2"/>
        <scheme val="minor"/>
      </rPr>
      <t xml:space="preserve">
If Total Performance Score&gt;BTPS Pay for Performance = Full Possible Reward
If Total Performance Score &lt;BTPS but &gt;TTPS then  Pay for Performance = .02 - (BTPS - Performance Score)* (.02 / (BTPS-TTPS))
If Total Performance Score &lt;TTPS then  Pay for Performance = 0%
</t>
    </r>
    <r>
      <rPr>
        <i/>
        <sz val="11"/>
        <rFont val="Aptos Narrow"/>
        <family val="2"/>
        <scheme val="minor"/>
      </rPr>
      <t>The  Pay for Performance Reward is then adjusted based on the Performance Year weighting of Pay for Reporting and Pay for Performance.
(e.g. PY 5 Weighted Pay for Performance Reward = Pay for Performance Reward x 0.25)</t>
    </r>
  </si>
  <si>
    <t xml:space="preserve">If a CAH’s TPS is greater than the national 25th percentile, they are eligible to receive a reward scaled between zero percent and 2 percent of their HGB.  A CAH receives the full 2 percent reward if their TPS is greater than the 90th percentile. If a CAH's TPS is between the 25th and 90th percentile, the formula to the left is used. </t>
  </si>
  <si>
    <t>(E) Calculate the Final CAH Quality Adjustment (No Data Entry Required)</t>
  </si>
  <si>
    <r>
      <rPr>
        <b/>
        <sz val="11"/>
        <color theme="1"/>
        <rFont val="Aptos Narrow"/>
        <family val="2"/>
        <scheme val="minor"/>
      </rPr>
      <t xml:space="preserve">CAH Quality Adjustment </t>
    </r>
    <r>
      <rPr>
        <sz val="11"/>
        <color theme="1"/>
        <rFont val="Aptos Narrow"/>
        <family val="2"/>
        <scheme val="minor"/>
      </rPr>
      <t>= Pay for Reporting Award + Pay for Performance Reward</t>
    </r>
  </si>
  <si>
    <t>Dropdown Options</t>
  </si>
  <si>
    <t>Measure Name</t>
  </si>
  <si>
    <t>Decline</t>
  </si>
  <si>
    <t>Slight Decline</t>
  </si>
  <si>
    <t>About the Same</t>
  </si>
  <si>
    <t>Slight Improvement</t>
  </si>
  <si>
    <t>Improvement</t>
  </si>
  <si>
    <t>Venous Thrombo-embolism Prophylaxis^</t>
  </si>
  <si>
    <t>Severe Obstetrics Complications</t>
  </si>
  <si>
    <t>CCN</t>
  </si>
  <si>
    <t>Dropdown result</t>
  </si>
  <si>
    <t>Performance Year</t>
  </si>
  <si>
    <t>add min?</t>
  </si>
  <si>
    <t>Base year</t>
  </si>
  <si>
    <t>Low Performance</t>
  </si>
  <si>
    <t>Somewhat Low Performance</t>
  </si>
  <si>
    <t>Average Performance</t>
  </si>
  <si>
    <t>Somewhat Higher Performance</t>
  </si>
  <si>
    <t>High Performance</t>
  </si>
  <si>
    <t xml:space="preserve">max = 100, min = 0 </t>
  </si>
  <si>
    <t>Change amount</t>
  </si>
  <si>
    <t>Pay for Reporting</t>
  </si>
  <si>
    <t>Pay for Performance</t>
  </si>
  <si>
    <t>PY3</t>
  </si>
  <si>
    <t>PY4</t>
  </si>
  <si>
    <t>PY5</t>
  </si>
  <si>
    <t>PY6</t>
  </si>
  <si>
    <t>PY7</t>
  </si>
  <si>
    <t>PY8</t>
  </si>
  <si>
    <t>Step 1: Total Baseline Amount</t>
  </si>
  <si>
    <t>Step 2: Volume Based Adjustments</t>
  </si>
  <si>
    <t>Change from Step 1</t>
  </si>
  <si>
    <t>Updated Total</t>
  </si>
  <si>
    <t>Step 3: Reflect FFS Revenue</t>
  </si>
  <si>
    <t>Change from Step 2</t>
  </si>
  <si>
    <t>Step 4. AHEAD Specific Adjustments</t>
  </si>
  <si>
    <t>Social Risk Adjustment</t>
  </si>
  <si>
    <t>The AHEAD Model includes a payment floor to ensure HGB payments for CAHs are no lower than current Medicare reimbursement at 101 percent of costs (before sequestration). The floor is calculated such that if prospective HGB payments for the PY are less than what would have been paid by Medicare had the CAH not participated in HGBs, CMS makes an additional payment to the CAH equal to the difference. The difference is incorporated into subsequent HGB payments.</t>
  </si>
  <si>
    <t>Change from Step 3</t>
  </si>
  <si>
    <r>
      <t xml:space="preserve">Step 4: Final Inpatient and Outpatient Amounts
</t>
    </r>
    <r>
      <rPr>
        <sz val="11"/>
        <color theme="1"/>
        <rFont val="Aptos Narrow"/>
        <family val="2"/>
        <scheme val="minor"/>
      </rPr>
      <t>Total After Step 4 x 2% Sequestration Reduction</t>
    </r>
  </si>
  <si>
    <t>Change from Step 4</t>
  </si>
  <si>
    <t>Sequestration is the automatic reduction (i.e., cancellation) of certain federal spending, generally by a uniform percentage.</t>
  </si>
  <si>
    <t>Total  Hospital Global Budget = Final Inpatient  HGB + Final Outpatient  HGB</t>
  </si>
  <si>
    <t>Bi-Weekly Payment Amount</t>
  </si>
  <si>
    <t xml:space="preserve"> AHEAD Model 
 Medicare Hospital Global Budget Calculator (Acute Care Hospital)</t>
  </si>
  <si>
    <t>Year</t>
  </si>
  <si>
    <t>Hospital-Wide Readmissions (proxy for Hybrid eHWR)</t>
  </si>
  <si>
    <t>Emergency Transfer Communication Measure</t>
  </si>
  <si>
    <t>ED Arrival Time to Departure Time for Discharged Patients</t>
  </si>
  <si>
    <t>NSHN Clostridium Difficile</t>
  </si>
  <si>
    <t>Safe Use of Opioids – Concurrent Prescribing</t>
  </si>
  <si>
    <t>Sepsis Bundle</t>
  </si>
  <si>
    <t>Venous Thrombo-embolism Prophylaxis</t>
  </si>
  <si>
    <t>HCAHPS Communication with Nurses</t>
  </si>
  <si>
    <t>HCAHPS Communication with Doctors</t>
  </si>
  <si>
    <t>HCAHPS Responsive-ness of Hospital Staff</t>
  </si>
  <si>
    <t>HCAHPS Communication about Medicines</t>
  </si>
  <si>
    <t>HCAHPS Discharge Information</t>
  </si>
  <si>
    <t>HCAHPS Care Transition Measure</t>
  </si>
  <si>
    <t>HCAHPS Overall Rating of this Hospital</t>
  </si>
  <si>
    <t>HCAHPS Cleanliness and Quietness of Hospital Env</t>
  </si>
  <si>
    <t>Not publicly available</t>
  </si>
  <si>
    <t>Not Scored</t>
  </si>
  <si>
    <t>Percentile of SRS</t>
  </si>
  <si>
    <t>SRA %</t>
  </si>
  <si>
    <t>ACH EA Percentile</t>
  </si>
  <si>
    <t>PY2</t>
  </si>
  <si>
    <t>Year ending 6 mo. prior to PY1</t>
  </si>
  <si>
    <t>NA</t>
  </si>
  <si>
    <t>PY1</t>
  </si>
  <si>
    <t>PY9 (or Transition Period Year)</t>
  </si>
  <si>
    <t>Social Risk Score (SRS) Multiplier by SRS Percentile Categories</t>
  </si>
  <si>
    <t>Hybrid eHWR Improvement Target</t>
  </si>
  <si>
    <t>PY4 Improvement Rate</t>
  </si>
  <si>
    <t>CIB Earned (% of HGB Payments)</t>
  </si>
  <si>
    <t>PQI-90 Improvement Target</t>
  </si>
  <si>
    <t>AHEAD Model CMS-Designed Medicare FFS Critical Access Hospital Global Budget Calculator Tool</t>
  </si>
  <si>
    <r>
      <rPr>
        <b/>
        <sz val="12"/>
        <color rgb="FF000000"/>
        <rFont val="Aptos Narrow"/>
        <family val="2"/>
        <scheme val="minor"/>
      </rPr>
      <t xml:space="preserve">Overview: </t>
    </r>
    <r>
      <rPr>
        <sz val="12"/>
        <color rgb="FF000000"/>
        <rFont val="Aptos Narrow"/>
        <family val="2"/>
        <scheme val="minor"/>
      </rPr>
      <t xml:space="preserve">The Hospital Global Budget (HGB) Calculator is a plug and play teaching tool that demonstrates how the CMS-Designed Medicare Fee-for-Service (FFS) Hospital Global Budget (HGB) payments are calculated for Critical Access Hospitals (CAHs) in accordance with the AHEAD Medicare FFS HGB Methodology, Version 3.0. 
The calculator tool illustrates the key elements of each component of the methodology. Users are asked to enter data for a hospital and then follow the automated calculations. Notes and explanations are provided throughout the tool to support understanding. </t>
    </r>
    <r>
      <rPr>
        <i/>
        <sz val="12"/>
        <color rgb="FF000000"/>
        <rFont val="Aptos Narrow"/>
        <family val="2"/>
        <scheme val="minor"/>
      </rPr>
      <t>While the tool presents a final HGB estimate based on the data entered, this is an estimate only and is not a precise calculation.</t>
    </r>
    <r>
      <rPr>
        <u/>
        <sz val="12"/>
        <color rgb="FF000000"/>
        <rFont val="Aptos Narrow"/>
        <family val="2"/>
        <scheme val="minor"/>
      </rPr>
      <t xml:space="preserve">
</t>
    </r>
    <r>
      <rPr>
        <sz val="12"/>
        <color rgb="FF000000"/>
        <rFont val="Aptos Narrow"/>
        <family val="2"/>
        <scheme val="minor"/>
      </rPr>
      <t xml:space="preserve">
</t>
    </r>
    <r>
      <rPr>
        <b/>
        <i/>
        <sz val="12"/>
        <color rgb="FF000000"/>
        <rFont val="Aptos Narrow"/>
        <family val="2"/>
        <scheme val="minor"/>
      </rPr>
      <t xml:space="preserve">The calculator tool is designed to support a general understanding of how the methodology functions. </t>
    </r>
    <r>
      <rPr>
        <b/>
        <i/>
        <u/>
        <sz val="12"/>
        <color rgb="FF000000"/>
        <rFont val="Aptos Narrow"/>
        <family val="2"/>
        <scheme val="minor"/>
      </rPr>
      <t>It should not be used to calculate a precise estimate.</t>
    </r>
    <r>
      <rPr>
        <b/>
        <i/>
        <sz val="12"/>
        <color rgb="FF000000"/>
        <rFont val="Aptos Narrow"/>
        <family val="2"/>
        <scheme val="minor"/>
      </rPr>
      <t xml:space="preserve"> In early 2026, CMS will release estimated HGBs for a historical year. Moving forward, CMS will release estimated HGBs in advance of Performance Year (PY) 1 to support hospital decision making.
</t>
    </r>
    <r>
      <rPr>
        <sz val="12"/>
        <color rgb="FF000000"/>
        <rFont val="Aptos Narrow"/>
        <family val="2"/>
        <scheme val="minor"/>
      </rPr>
      <t xml:space="preserve">
</t>
    </r>
    <r>
      <rPr>
        <b/>
        <sz val="12"/>
        <color rgb="FF000000"/>
        <rFont val="Aptos Narrow"/>
        <family val="2"/>
        <scheme val="minor"/>
      </rPr>
      <t>Additional Resources</t>
    </r>
    <r>
      <rPr>
        <sz val="12"/>
        <color rgb="FF000000"/>
        <rFont val="Aptos Narrow"/>
        <family val="2"/>
        <scheme val="minor"/>
      </rPr>
      <t>:</t>
    </r>
    <r>
      <rPr>
        <u/>
        <sz val="12"/>
        <color rgb="FF000000"/>
        <rFont val="Aptos Narrow"/>
        <family val="2"/>
        <scheme val="minor"/>
      </rPr>
      <t xml:space="preserve">
</t>
    </r>
    <r>
      <rPr>
        <sz val="12"/>
        <color rgb="FF000000"/>
        <rFont val="Aptos Narrow"/>
        <family val="2"/>
        <scheme val="minor"/>
      </rPr>
      <t xml:space="preserve">
</t>
    </r>
    <r>
      <rPr>
        <b/>
        <sz val="12"/>
        <color rgb="FF000000"/>
        <rFont val="Aptos Narrow"/>
        <family val="2"/>
        <scheme val="minor"/>
      </rPr>
      <t xml:space="preserve">Acute Care Hospital Calculator Tool: </t>
    </r>
    <r>
      <rPr>
        <sz val="12"/>
        <color rgb="FF000000"/>
        <rFont val="Aptos Narrow"/>
        <family val="2"/>
        <scheme val="minor"/>
      </rPr>
      <t xml:space="preserve">A calculator tool focused on Acute Care Hospitals (ACHs) is available to support understanding of the unique elements of the methodology specific to ACHs.
</t>
    </r>
    <r>
      <rPr>
        <b/>
        <sz val="12"/>
        <color rgb="FF000000"/>
        <rFont val="Aptos Narrow"/>
        <family val="2"/>
        <scheme val="minor"/>
      </rPr>
      <t xml:space="preserve">Financial Specifications: </t>
    </r>
    <r>
      <rPr>
        <sz val="12"/>
        <color rgb="FF000000"/>
        <rFont val="Aptos Narrow"/>
        <family val="2"/>
        <scheme val="minor"/>
      </rPr>
      <t xml:space="preserve">The CMS AHEAD HGB Specifications Version 3.0 can be found on the CMS AHEAD model webpage.
</t>
    </r>
    <r>
      <rPr>
        <b/>
        <sz val="12"/>
        <color rgb="FF000000"/>
        <rFont val="Aptos Narrow"/>
        <family val="2"/>
        <scheme val="minor"/>
      </rPr>
      <t xml:space="preserve">Financial Specifications At-A-Glance Document: </t>
    </r>
    <r>
      <rPr>
        <sz val="12"/>
        <color rgb="FF000000"/>
        <rFont val="Aptos Narrow"/>
        <family val="2"/>
        <scheme val="minor"/>
      </rPr>
      <t>The CMS AHEAD HGB At-A-Glance document provides an overview of the benefits of HGBs and the HGB Version 3.0 methodology. It can be found on the CMS AHEAD model webpage.</t>
    </r>
  </si>
  <si>
    <t>Step 1: Calculate The Performance Year (PY) 1 Baseline Amount</t>
  </si>
  <si>
    <r>
      <t xml:space="preserve">Overview: </t>
    </r>
    <r>
      <rPr>
        <sz val="11"/>
        <rFont val="Aptos Narrow"/>
        <family val="2"/>
        <scheme val="minor"/>
      </rPr>
      <t xml:space="preserve">The HGB Baseline Amount is the starting point for determining PY1 HGB payments for a Participant Hospital. To calculate the  Baseline Paid Amount, CMS utilizes historical Medicare FFS revenue data from three baseline years (BY). The Base Years are trended forward to BY3 dollars and then weighted, with a heavier weight placed on the more recent years. See </t>
    </r>
    <r>
      <rPr>
        <i/>
        <sz val="11"/>
        <rFont val="Aptos Narrow"/>
        <family val="2"/>
        <scheme val="minor"/>
      </rPr>
      <t>CMS AHEAD Medicare HGB Financial Specifications Section 2.1
The Service Line Adjustment adjusts funding to account for service line modifications, including additions, expansions, reductions, or elimination of specific service lines.  Of note, Participant Hospitals can retain a portion of the revenue associated with the volume of a removed service line to invest in population health activities. (Not included in calculator tool due to not being applicable for all hospitals) - See CMS AHEAD Medicare HGB Financial Specifications Section 2.2.2.2</t>
    </r>
    <r>
      <rPr>
        <sz val="11"/>
        <rFont val="Aptos Narrow"/>
        <family val="2"/>
        <scheme val="minor"/>
      </rPr>
      <t xml:space="preserve">
</t>
    </r>
    <r>
      <rPr>
        <b/>
        <sz val="11"/>
        <rFont val="Aptos Narrow"/>
        <family val="2"/>
        <scheme val="minor"/>
      </rPr>
      <t>Note</t>
    </r>
    <r>
      <rPr>
        <sz val="11"/>
        <rFont val="Aptos Narrow"/>
        <family val="2"/>
        <scheme val="minor"/>
      </rPr>
      <t>: The Baseline Amount is only calculated once. After PY1, the Baseline is set as the prior year's HGB Baseline plus the prior year's volume based adjustments and pricing &amp; demographic adjustments. Additionally, due to the unique methodology used to calculate Maryland hospital payments, the Case Adjusted Rate (CAR) for Maryland is set at 2% in the Calculator Tool. Additional information will be provided as it becomes available</t>
    </r>
  </si>
  <si>
    <t>Baseline Amount (First Applicable in PY1)</t>
  </si>
  <si>
    <r>
      <rPr>
        <b/>
        <sz val="11"/>
        <rFont val="Aptos Narrow"/>
        <family val="2"/>
        <scheme val="minor"/>
      </rPr>
      <t>Overview</t>
    </r>
    <r>
      <rPr>
        <sz val="11"/>
        <rFont val="Aptos Narrow"/>
        <family val="2"/>
        <scheme val="minor"/>
      </rPr>
      <t xml:space="preserve">: After calculating the  Baseline Amount, CMS applies the Volume-Based Adjustments.
1. </t>
    </r>
    <r>
      <rPr>
        <b/>
        <sz val="11"/>
        <rFont val="Aptos Narrow"/>
        <family val="2"/>
        <scheme val="minor"/>
      </rPr>
      <t>Market Shift Adjustment:</t>
    </r>
    <r>
      <rPr>
        <sz val="11"/>
        <rFont val="Aptos Narrow"/>
        <family val="2"/>
        <scheme val="minor"/>
      </rPr>
      <t xml:space="preserve"> Adjusts for upward and downward changes in revenue when patient volume and complexity realigns or shifts between Eligible Hospitals within a Hospital-Specific Market Area.</t>
    </r>
    <r>
      <rPr>
        <i/>
        <sz val="11"/>
        <rFont val="Aptos Narrow"/>
        <family val="2"/>
        <scheme val="minor"/>
      </rPr>
      <t xml:space="preserve"> </t>
    </r>
    <r>
      <rPr>
        <sz val="11"/>
        <rFont val="Aptos Narrow"/>
        <family val="2"/>
        <scheme val="minor"/>
      </rPr>
      <t>To support small hospitals and provide additional protection from year-to-year volume variations, an MSA small provider floor will be implemented. The floor will be set at 0%, ensuring no eligible hospital receives a downward adjustment from the MSA. Eligible small providers are any hospitals whose Year 2 FFS payments represent 2% or less of the AHEAD state’s or sub-state region’s total Year 2 FFS payments.</t>
    </r>
    <r>
      <rPr>
        <i/>
        <sz val="11"/>
        <rFont val="Aptos Narrow"/>
        <family val="2"/>
        <scheme val="minor"/>
      </rPr>
      <t xml:space="preserve"> Aspects of this adjustment have been simplified for the calculator. See CMS AHEAD Medicare HGB Financial Specifications Section 2.2.2.1 for the comprehensive methodology.</t>
    </r>
  </si>
  <si>
    <t>Market Shift Adjustment (First Applicable in PY2)</t>
  </si>
  <si>
    <t>Step 3: Reflect Medicare FFS Revenue</t>
  </si>
  <si>
    <r>
      <t xml:space="preserve">Overview: </t>
    </r>
    <r>
      <rPr>
        <sz val="11"/>
        <rFont val="Aptos Narrow"/>
        <family val="2"/>
        <scheme val="minor"/>
      </rPr>
      <t xml:space="preserve">Adjust the HGB to reflect changes incorporated in the FFS system.
</t>
    </r>
    <r>
      <rPr>
        <b/>
        <sz val="11"/>
        <rFont val="Aptos Narrow"/>
        <family val="2"/>
        <scheme val="minor"/>
      </rPr>
      <t xml:space="preserve">1. Annual Payment Adjustment: </t>
    </r>
    <r>
      <rPr>
        <sz val="11"/>
        <rFont val="Aptos Narrow"/>
        <family val="2"/>
        <scheme val="minor"/>
      </rPr>
      <t xml:space="preserve">The Annual Payment Adjustment (APA) adjusts the HGB Baseline to account for changes in Medicare FFS prices. </t>
    </r>
    <r>
      <rPr>
        <i/>
        <sz val="11"/>
        <rFont val="Aptos Narrow"/>
        <family val="2"/>
        <scheme val="minor"/>
      </rPr>
      <t>See CMS AHEAD Medicare HGB Financial Specifications Section 2.2.1</t>
    </r>
    <r>
      <rPr>
        <b/>
        <sz val="11"/>
        <rFont val="Aptos Narrow"/>
        <family val="2"/>
        <scheme val="minor"/>
      </rPr>
      <t xml:space="preserve">
2. Demographic Adjustment: </t>
    </r>
    <r>
      <rPr>
        <sz val="11"/>
        <rFont val="Aptos Narrow"/>
        <family val="2"/>
        <scheme val="minor"/>
      </rPr>
      <t xml:space="preserve">The Demographic Adjustment (DA) is designed to adjust HGBs to reflect changes in both the size and medical risk of the population served by the Participant Hospital. </t>
    </r>
    <r>
      <rPr>
        <i/>
        <sz val="11"/>
        <rFont val="Aptos Narrow"/>
        <family val="2"/>
        <scheme val="minor"/>
      </rPr>
      <t>Aspects of this adjustment have been simplified for the calculator. See CMS AHEAD Medicare HGB Financial Specifications Section 2.2.2.3 for the comprehensive methodology.</t>
    </r>
    <r>
      <rPr>
        <b/>
        <sz val="11"/>
        <rFont val="Aptos Narrow"/>
        <family val="2"/>
        <scheme val="minor"/>
      </rPr>
      <t xml:space="preserve">
Note: </t>
    </r>
    <r>
      <rPr>
        <sz val="11"/>
        <rFont val="Aptos Narrow"/>
        <family val="2"/>
        <scheme val="minor"/>
      </rPr>
      <t xml:space="preserve">Due to the unique methodology used to calculate Maryland hospital payments, the APA for Maryland is set at 2% in the Calculator Tool. Additional information will be provided as it becomes available. </t>
    </r>
  </si>
  <si>
    <r>
      <rPr>
        <b/>
        <i/>
        <sz val="11"/>
        <color theme="1"/>
        <rFont val="Aptos Narrow"/>
        <family val="2"/>
        <scheme val="minor"/>
      </rPr>
      <t>(D) Apply the APA to Adjust BY1 and BY2 to Reflect BY3 Prices - (No Data Entry Required)</t>
    </r>
    <r>
      <rPr>
        <b/>
        <i/>
        <u/>
        <sz val="11"/>
        <color theme="1"/>
        <rFont val="Aptos Narrow"/>
        <family val="2"/>
        <scheme val="minor"/>
      </rPr>
      <t xml:space="preserve">
</t>
    </r>
    <r>
      <rPr>
        <i/>
        <sz val="11"/>
        <color theme="1"/>
        <rFont val="Aptos Narrow"/>
        <family val="2"/>
        <scheme val="minor"/>
      </rPr>
      <t>For CAHs, the Hospital Market Basket serves as the basis to price adjust baseline payments to PY1 dollars. For the purpose of the calculator the Market Basket is set to 2%.</t>
    </r>
  </si>
  <si>
    <r>
      <t xml:space="preserve">Overview. </t>
    </r>
    <r>
      <rPr>
        <sz val="11"/>
        <rFont val="Aptos Narrow"/>
        <family val="2"/>
        <scheme val="minor"/>
      </rPr>
      <t xml:space="preserve">Adjusts the annual AHEAD HGB to account for social risk of the population served and to promote investment in care management and transformation activities that will generate savings under the Model. In addition, CMS  applies performance-based adjustments to HGBs based on financial and quality performance standards.  Performance-based adjustments to HGBs includes adjustments for performance on CMS national quality programs, community improvement, effectiveness on PAU targets, and performance on TCOC targets.
</t>
    </r>
    <r>
      <rPr>
        <b/>
        <u/>
        <sz val="11"/>
        <rFont val="Aptos Narrow"/>
        <family val="2"/>
        <scheme val="minor"/>
      </rPr>
      <t xml:space="preserve">
</t>
    </r>
    <r>
      <rPr>
        <b/>
        <sz val="11"/>
        <rFont val="Aptos Narrow"/>
        <family val="2"/>
        <scheme val="minor"/>
      </rPr>
      <t xml:space="preserve">1. Social Risk Adjustment (SRA): </t>
    </r>
    <r>
      <rPr>
        <sz val="11"/>
        <rFont val="Aptos Narrow"/>
        <family val="2"/>
        <scheme val="minor"/>
      </rPr>
      <t xml:space="preserve">AHEAD applies an upside-only Social Risk Adjustment (SRA) to HGBs to account for hospital-to-hospital differences in the social risk of their beneficiary populations. </t>
    </r>
    <r>
      <rPr>
        <i/>
        <sz val="11"/>
        <rFont val="Aptos Narrow"/>
        <family val="2"/>
        <scheme val="minor"/>
      </rPr>
      <t>Aspects of this adjustment have been simplified for the calculator. See CMS AHEAD Medicare HGB Financial Specifications Section 2.2.3.1 for the comprehensive methodology.</t>
    </r>
    <r>
      <rPr>
        <b/>
        <sz val="11"/>
        <rFont val="Aptos Narrow"/>
        <family val="2"/>
        <scheme val="minor"/>
      </rPr>
      <t xml:space="preserve">
2. Effectiveness Adjustment (EA): </t>
    </r>
    <r>
      <rPr>
        <sz val="11"/>
        <rFont val="Aptos Narrow"/>
        <family val="2"/>
        <scheme val="minor"/>
      </rPr>
      <t>Applies a downward adjustment based on a Participant Hospital’s Medicare Potentially Avoidable Utilization (PAU) performance relative to all other Eligible Hospitals in the state. The EA is designed to incentivize Participant Hospitals to implement interventions that reduce unnecessary or avoidable care. Aspects of this adjustment have been simplified for the calculator. See CMS AHEAD Medicare HGB Financial Specifications Section 2.3.3 for the comprehensive methodology.</t>
    </r>
    <r>
      <rPr>
        <b/>
        <sz val="11"/>
        <rFont val="Aptos Narrow"/>
        <family val="2"/>
        <scheme val="minor"/>
      </rPr>
      <t xml:space="preserve">
3. Community Improvement Bonus (CIB): </t>
    </r>
    <r>
      <rPr>
        <sz val="11"/>
        <rFont val="Aptos Narrow"/>
        <family val="2"/>
        <scheme val="minor"/>
      </rPr>
      <t xml:space="preserve">A bonus earned by Participant Hospitals to reward performance improvement on two community health improvement focused quality measures: Hybrid Hospital Wide Readmission (Hybrid eHWR) and Prevention Quality Indicators (PQI)-90 composite admission rates. Aspects of this adjustment have been simplified for the calculator. See CMS AHEAD Medicare HGB Financial Specifications Section 2.3.2 for the comprehensive methodology.
</t>
    </r>
    <r>
      <rPr>
        <b/>
        <sz val="11"/>
        <rFont val="Aptos Narrow"/>
        <family val="2"/>
        <scheme val="minor"/>
      </rPr>
      <t xml:space="preserve">4. Total Cost of Care Adjustment (TCOC): </t>
    </r>
    <r>
      <rPr>
        <sz val="11"/>
        <rFont val="Aptos Narrow"/>
        <family val="2"/>
        <scheme val="minor"/>
      </rPr>
      <t xml:space="preserve">Participant Hospitals can earn additional incentives for managing TCOC incurred by Medicare beneficiaries residing in the Hospital Specific Market Area they serve. If the change in TCOC incurred by attributed beneficiaries is below/above the established growth target, and outside the bounds of a performance corridor, the Participant Hospital is rewarded/penalized with up to a two percent adjustment to its HGB in the next PY. Aspects of this adjustment have been simplified for the calculator. See CMS AHEAD Medicare HGB Financial Specifications Section 2.3.4 for the comprehensive methodology.
</t>
    </r>
    <r>
      <rPr>
        <b/>
        <sz val="11"/>
        <rFont val="Aptos Narrow"/>
        <family val="2"/>
        <scheme val="minor"/>
      </rPr>
      <t xml:space="preserve">5. Transformation Incentive Adjustment (TIA): </t>
    </r>
    <r>
      <rPr>
        <sz val="11"/>
        <rFont val="Aptos Narrow"/>
        <family val="2"/>
        <scheme val="minor"/>
      </rPr>
      <t>An upward adjustment applied to each Participant Hospital’s HGB in the first two PYs of the Applicable Cohort to facilitate investment by hospitals in care management and transformation activities. See CMS AHEAD Medicare HGB Financial Specifications Section 2.2.3.2</t>
    </r>
  </si>
  <si>
    <t>Step 4: Apply AHEAD Annual Adjustments</t>
  </si>
  <si>
    <r>
      <t xml:space="preserve">Overview. </t>
    </r>
    <r>
      <rPr>
        <sz val="11"/>
        <rFont val="Aptos Narrow"/>
        <family val="2"/>
        <scheme val="minor"/>
      </rPr>
      <t xml:space="preserve">In AHEAD, CAHs participate in the CAH Quality Incentive Program, an upside-only quality program that begins as pay-for-reporting and advances to pay-for-performance for a select set of measures, including rural-specific measures. CAHs must report on at least one measure in all three domains to obtain the pay-for-reporting reward. Quality data is sourced from Medicare Beneficiary Quality Improvement Project (MBQIP) and the Provider Data Catalog.
</t>
    </r>
    <r>
      <rPr>
        <b/>
        <sz val="11"/>
        <rFont val="Aptos Narrow"/>
        <family val="2"/>
        <scheme val="minor"/>
      </rPr>
      <t xml:space="preserve">Time Period:
    - Pay for Reporting: </t>
    </r>
    <r>
      <rPr>
        <sz val="11"/>
        <rFont val="Aptos Narrow"/>
        <family val="2"/>
        <scheme val="minor"/>
      </rPr>
      <t>PY3 to PY8, reducing in weight over-time from 2% in PY3 to 0% in PY8</t>
    </r>
    <r>
      <rPr>
        <b/>
        <sz val="11"/>
        <rFont val="Aptos Narrow"/>
        <family val="2"/>
        <scheme val="minor"/>
      </rPr>
      <t xml:space="preserve">
    - Pay for Performance: </t>
    </r>
    <r>
      <rPr>
        <sz val="11"/>
        <rFont val="Aptos Narrow"/>
        <family val="2"/>
        <scheme val="minor"/>
      </rPr>
      <t>PY5 to PY7, increasing in weight over-time from 0.5% in PY5 to 2% in PY8</t>
    </r>
    <r>
      <rPr>
        <b/>
        <sz val="11"/>
        <rFont val="Aptos Narrow"/>
        <family val="2"/>
        <scheme val="minor"/>
      </rPr>
      <t xml:space="preserve">
</t>
    </r>
    <r>
      <rPr>
        <i/>
        <sz val="11"/>
        <rFont val="Aptos Narrow"/>
        <family val="2"/>
        <scheme val="minor"/>
      </rPr>
      <t>In the Calculator Tool (Step B), the user can enter the Performance Year calculation of interest</t>
    </r>
  </si>
  <si>
    <r>
      <rPr>
        <sz val="11"/>
        <rFont val="Aptos Narrow"/>
        <family val="2"/>
        <scheme val="minor"/>
      </rPr>
      <t xml:space="preserve">Calculates the final Hospital Global Budget amount based on the data entered in Steps 1, 2, 3, and 4. Applies a 2% sequestration reduction.
</t>
    </r>
    <r>
      <rPr>
        <b/>
        <sz val="12"/>
        <rFont val="Aptos Narrow"/>
        <family val="2"/>
        <scheme val="minor"/>
      </rPr>
      <t>Note:</t>
    </r>
    <r>
      <rPr>
        <sz val="12"/>
        <rFont val="Aptos Narrow"/>
        <family val="2"/>
        <scheme val="minor"/>
      </rPr>
      <t xml:space="preserve"> </t>
    </r>
    <r>
      <rPr>
        <i/>
        <sz val="12"/>
        <rFont val="Aptos Narrow"/>
        <family val="2"/>
        <scheme val="minor"/>
      </rPr>
      <t>The calculator tool is designed to support a general understanding of how the methodology functions. It should not be used to calculate a precise estimate.</t>
    </r>
  </si>
  <si>
    <t>Step 5: Calculate the Final HGB</t>
  </si>
  <si>
    <t>Appendix (Continued)</t>
  </si>
  <si>
    <t>SRS Multiplier and Community Investment Bonus (CIB) Earned for Meeting Hybrid eHWR and PQI-90 Improvement Targets</t>
  </si>
  <si>
    <t xml:space="preserve">Effectiveness Adjustment (EA) by Performance Year and Hospital Type. The maximum EA reduction amount and the reduction for hospitals falling between the 20th and 100th percentile increases over time. The gradual increase provides hospitals time to gain additional experience with implementing processes to control PAU and form partnerships with primary care providers, post-acute care providers, and community-based organizations that can address social drivers of health. </t>
  </si>
  <si>
    <t>Payment Adjustments
PY</t>
  </si>
  <si>
    <t>Data for PUA Percent and
PUA Percentile</t>
  </si>
  <si>
    <t>Social Risk Adjustment Look Up Table: The percentile range of the hospitals Social Risk Score (SRS) is used to determine the hospital's Social Risk Adjustment.</t>
  </si>
  <si>
    <t>Appendix</t>
  </si>
  <si>
    <r>
      <t xml:space="preserve"> Quality Results: </t>
    </r>
    <r>
      <rPr>
        <sz val="11"/>
        <rFont val="Aptos Narrow"/>
        <family val="2"/>
        <scheme val="minor"/>
      </rPr>
      <t xml:space="preserve">Quality data is sourced from Medicare Beneficiary Quality Improvement Project (MBQIP) and the Provider Data Catalog. Data is not publicly available for the Emergency Transfer Communication Measure. 
</t>
    </r>
    <r>
      <rPr>
        <b/>
        <sz val="11"/>
        <rFont val="Aptos Narrow"/>
        <family val="2"/>
        <scheme val="minor"/>
      </rPr>
      <t>CMS Provider Data Catalog</t>
    </r>
    <r>
      <rPr>
        <sz val="11"/>
        <rFont val="Aptos Narrow"/>
        <family val="2"/>
        <scheme val="minor"/>
      </rPr>
      <t xml:space="preserve">
- https://data.cms.gov/provider-data/
</t>
    </r>
    <r>
      <rPr>
        <b/>
        <sz val="11"/>
        <rFont val="Aptos Narrow"/>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</si>
</sst>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quot;$&quot;* #,##0_);_(&quot;$&quot;* \(#,##0\);_(&quot;$&quot;* &quot;-&quot;??_);_(@_)"/>
    <numFmt numFmtId="165" formatCode="0.0%"/>
    <numFmt numFmtId="166" formatCode="[$-409]mm/dd/yyyy"/>
    <numFmt numFmtId="167" formatCode="0.000"/>
    <numFmt numFmtId="168" formatCode="_(&quot;$&quot;* #,##0.0_);_(&quot;$&quot;* \(#,##0.0\);_(&quot;$&quot;* &quot;-&quot;?_);_(@_)"/>
    <numFmt numFmtId="169" formatCode="0.000%"/>
    <numFmt numFmtId="170" formatCode="_(* #,##0.0_);_(* \(#,##0.0\);_(* &quot;-&quot;?_);_(@_)"/>
  </numFmts>
  <fonts count="6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16"/>
      <color theme="0"/>
      <name val="Times New Roman"/>
      <family val="1"/>
    </font>
    <font>
      <b/>
      <sz val="14"/>
      <name val="Times New Roman"/>
      <family val="1"/>
    </font>
    <font>
      <sz val="11"/>
      <name val="Aptos Narrow"/>
      <family val="2"/>
      <scheme val="minor"/>
    </font>
    <font>
      <b/>
      <i/>
      <u/>
      <sz val="11"/>
      <name val="Aptos Narrow"/>
      <family val="2"/>
      <scheme val="minor"/>
    </font>
    <font>
      <b/>
      <i/>
      <u/>
      <sz val="11"/>
      <color theme="1"/>
      <name val="Aptos Narrow"/>
      <family val="2"/>
      <scheme val="minor"/>
    </font>
    <font>
      <sz val="11"/>
      <color rgb="FFFF0000"/>
      <name val="Aptos Narrow"/>
      <family val="2"/>
      <scheme val="minor"/>
    </font>
    <font>
      <b/>
      <sz val="11"/>
      <name val="Aptos Narrow"/>
      <family val="2"/>
      <scheme val="minor"/>
    </font>
    <font>
      <b/>
      <u/>
      <sz val="11"/>
      <name val="Aptos Narrow"/>
      <family val="2"/>
      <scheme val="minor"/>
    </font>
    <font>
      <b/>
      <sz val="11"/>
      <color rgb="FFFF0000"/>
      <name val="Aptos Narrow"/>
      <family val="2"/>
      <scheme val="minor"/>
    </font>
    <font>
      <sz val="12"/>
      <color theme="1"/>
      <name val="Aptos Narrow"/>
      <family val="2"/>
      <scheme val="minor"/>
    </font>
    <font>
      <i/>
      <sz val="11"/>
      <color theme="1"/>
      <name val="Aptos Narrow"/>
      <family val="2"/>
      <scheme val="minor"/>
    </font>
    <font>
      <sz val="10"/>
      <name val="Arial"/>
      <family val="2"/>
    </font>
    <font>
      <sz val="11"/>
      <color rgb="FF000000"/>
      <name val="Aptos Narrow"/>
      <family val="2"/>
      <scheme val="minor"/>
    </font>
    <font>
      <u/>
      <sz val="11"/>
      <color theme="10"/>
      <name val="Aptos Narrow"/>
      <family val="2"/>
      <scheme val="minor"/>
    </font>
    <font>
      <i/>
      <sz val="11"/>
      <name val="Aptos Narrow"/>
      <family val="2"/>
      <scheme val="minor"/>
    </font>
    <font>
      <sz val="11"/>
      <color rgb="FF282A2E"/>
      <name val="Aptos Narrow"/>
      <family val="2"/>
      <scheme val="minor"/>
    </font>
    <font>
      <sz val="8"/>
      <name val="Aptos Narrow"/>
      <family val="2"/>
      <scheme val="minor"/>
    </font>
    <font>
      <sz val="11"/>
      <color rgb="FF242424"/>
      <name val="Aptos Narrow"/>
      <family val="2"/>
      <scheme val="minor"/>
    </font>
    <font>
      <b/>
      <sz val="10"/>
      <color theme="0"/>
      <name val="Aptos Narrow"/>
      <family val="2"/>
      <scheme val="minor"/>
    </font>
    <font>
      <b/>
      <sz val="10"/>
      <color rgb="FF000000"/>
      <name val="Aptos Narrow"/>
      <family val="2"/>
      <scheme val="minor"/>
    </font>
    <font>
      <sz val="10"/>
      <color rgb="FF000000"/>
      <name val="Aptos Narrow"/>
      <family val="2"/>
      <scheme val="minor"/>
    </font>
    <font>
      <b/>
      <sz val="11"/>
      <color rgb="FF242424"/>
      <name val="Aptos Narrow"/>
      <family val="2"/>
      <scheme val="minor"/>
    </font>
    <font>
      <b/>
      <sz val="10"/>
      <name val="Aptos Narrow"/>
      <family val="2"/>
      <scheme val="minor"/>
    </font>
    <font>
      <b/>
      <i/>
      <u/>
      <sz val="11"/>
      <color rgb="FF242424"/>
      <name val="Aptos Narrow"/>
      <family val="2"/>
      <scheme val="minor"/>
    </font>
    <font>
      <i/>
      <sz val="11"/>
      <color rgb="FF242424"/>
      <name val="Aptos Narrow"/>
      <family val="2"/>
      <scheme val="minor"/>
    </font>
    <font>
      <sz val="12"/>
      <name val="Aptos Narrow"/>
      <family val="2"/>
      <scheme val="minor"/>
    </font>
    <font>
      <b/>
      <sz val="12"/>
      <name val="Aptos Narrow"/>
      <family val="2"/>
      <scheme val="minor"/>
    </font>
    <font>
      <b/>
      <i/>
      <sz val="11"/>
      <name val="Aptos Narrow"/>
      <family val="2"/>
      <scheme val="minor"/>
    </font>
    <font>
      <i/>
      <sz val="12"/>
      <name val="Aptos Narrow"/>
      <family val="2"/>
      <scheme val="minor"/>
    </font>
    <font>
      <b/>
      <i/>
      <sz val="11"/>
      <color rgb="FF242424"/>
      <name val="Aptos Narrow"/>
      <family val="2"/>
      <scheme val="minor"/>
    </font>
    <font>
      <i/>
      <sz val="11"/>
      <color rgb="FF0070C0"/>
      <name val="Aptos Narrow"/>
      <family val="2"/>
      <scheme val="minor"/>
    </font>
    <font>
      <i/>
      <sz val="11"/>
      <color theme="3" tint="0.249977111117893"/>
      <name val="Aptos Narrow"/>
      <family val="2"/>
      <scheme val="minor"/>
    </font>
    <font>
      <b/>
      <sz val="12"/>
      <color rgb="FF000000"/>
      <name val="Aptos Narrow"/>
      <family val="2"/>
      <scheme val="minor"/>
    </font>
    <font>
      <sz val="12"/>
      <color rgb="FF000000"/>
      <name val="Aptos Narrow"/>
      <family val="2"/>
      <scheme val="minor"/>
    </font>
    <font>
      <u/>
      <sz val="12"/>
      <color rgb="FF000000"/>
      <name val="Aptos Narrow"/>
      <family val="2"/>
      <scheme val="minor"/>
    </font>
    <font>
      <b/>
      <i/>
      <sz val="12"/>
      <color rgb="FF000000"/>
      <name val="Aptos Narrow"/>
      <family val="2"/>
      <scheme val="minor"/>
    </font>
    <font>
      <b/>
      <i/>
      <u/>
      <sz val="12"/>
      <color rgb="FF000000"/>
      <name val="Aptos Narrow"/>
      <family val="2"/>
      <scheme val="minor"/>
    </font>
    <font>
      <b/>
      <sz val="11"/>
      <color theme="6"/>
      <name val="Aptos Narrow"/>
      <family val="2"/>
      <scheme val="minor"/>
    </font>
    <font>
      <sz val="11"/>
      <color theme="6"/>
      <name val="Aptos Narrow"/>
      <family val="2"/>
      <scheme val="minor"/>
    </font>
    <font>
      <b/>
      <sz val="11"/>
      <color rgb="FF000000"/>
      <name val="Aptos Narrow"/>
      <family val="2"/>
      <scheme val="minor"/>
    </font>
    <font>
      <i/>
      <sz val="11"/>
      <color rgb="FF000000"/>
      <name val="Aptos Narrow"/>
      <family val="2"/>
      <scheme val="minor"/>
    </font>
    <font>
      <sz val="10"/>
      <color theme="1"/>
      <name val="Aptos Narrow"/>
      <family val="2"/>
      <scheme val="minor"/>
    </font>
    <font>
      <b/>
      <sz val="10"/>
      <color theme="1"/>
      <name val="Aptos Narrow"/>
      <family val="2"/>
      <scheme val="minor"/>
    </font>
    <font>
      <i/>
      <sz val="10"/>
      <name val="Aptos Narrow"/>
      <family val="2"/>
      <scheme val="minor"/>
    </font>
    <font>
      <sz val="10"/>
      <name val="Aptos Narrow"/>
      <family val="2"/>
      <scheme val="minor"/>
    </font>
    <font>
      <i/>
      <sz val="10"/>
      <color theme="1"/>
      <name val="Aptos Narrow"/>
      <family val="2"/>
      <scheme val="minor"/>
    </font>
    <font>
      <sz val="10"/>
      <color rgb="FFFF0000"/>
      <name val="Aptos Narrow"/>
      <family val="2"/>
      <scheme val="minor"/>
    </font>
    <font>
      <sz val="10"/>
      <name val="Arial Unicode MS"/>
    </font>
    <font>
      <vertAlign val="superscript"/>
      <sz val="11"/>
      <color theme="1"/>
      <name val="Aptos Narrow"/>
      <family val="2"/>
      <scheme val="minor"/>
    </font>
    <font>
      <i/>
      <sz val="8"/>
      <color theme="1"/>
      <name val="Aptos Narrow"/>
      <family val="2"/>
      <scheme val="minor"/>
    </font>
    <font>
      <b/>
      <sz val="11"/>
      <color theme="3"/>
      <name val="Aptos Narrow"/>
      <family val="2"/>
      <scheme val="minor"/>
    </font>
    <font>
      <b/>
      <sz val="20"/>
      <color rgb="FF004986"/>
      <name val="Aptos Display"/>
      <family val="2"/>
      <scheme val="major"/>
    </font>
    <font>
      <i/>
      <sz val="12"/>
      <color rgb="FF000000"/>
      <name val="Aptos Narrow"/>
      <family val="2"/>
      <scheme val="minor"/>
    </font>
    <font>
      <b/>
      <sz val="12"/>
      <color theme="1"/>
      <name val="Aptos Narrow"/>
      <family val="2"/>
      <scheme val="minor"/>
    </font>
    <font>
      <b/>
      <i/>
      <sz val="11"/>
      <color theme="1"/>
      <name val="Aptos Narrow"/>
      <family val="2"/>
      <scheme val="minor"/>
    </font>
    <font>
      <b/>
      <sz val="11"/>
      <color theme="0"/>
      <name val="Aptos Display"/>
      <family val="2"/>
      <scheme val="major"/>
    </font>
  </fonts>
  <fills count="22">
    <fill>
      <patternFill patternType="none"/>
    </fill>
    <fill>
      <patternFill patternType="gray125"/>
    </fill>
    <fill>
      <patternFill patternType="solid">
        <fgColor rgb="FF3E7CAF"/>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CC"/>
        <bgColor indexed="64"/>
      </patternFill>
    </fill>
    <fill>
      <patternFill patternType="solid">
        <fgColor theme="3"/>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A6C9EC"/>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002060"/>
        <bgColor indexed="64"/>
      </patternFill>
    </fill>
    <fill>
      <patternFill patternType="solid">
        <fgColor rgb="FFFFFFCC"/>
        <bgColor rgb="FF000000"/>
      </patternFill>
    </fill>
    <fill>
      <patternFill patternType="solid">
        <fgColor rgb="FF999DF3"/>
        <bgColor indexed="64"/>
      </patternFill>
    </fill>
    <fill>
      <patternFill patternType="solid">
        <fgColor theme="7" tint="0.59999389629810485"/>
        <bgColor indexed="64"/>
      </patternFill>
    </fill>
    <fill>
      <patternFill patternType="solid">
        <fgColor rgb="FFFFC000"/>
        <bgColor indexed="64"/>
      </patternFill>
    </fill>
    <fill>
      <patternFill patternType="solid">
        <fgColor rgb="FFFAF8F2"/>
        <bgColor indexed="64"/>
      </patternFill>
    </fill>
    <fill>
      <patternFill patternType="solid">
        <fgColor theme="2"/>
        <bgColor indexed="64"/>
      </patternFill>
    </fill>
    <fill>
      <patternFill patternType="solid">
        <fgColor rgb="FFDAE9F8"/>
        <bgColor indexed="64"/>
      </patternFill>
    </fill>
    <fill>
      <patternFill patternType="solid">
        <fgColor theme="1"/>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bottom/>
      <diagonal/>
    </border>
    <border>
      <left/>
      <right style="thin">
        <color auto="1"/>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top/>
      <bottom style="medium">
        <color rgb="FFC45608"/>
      </bottom>
      <diagonal/>
    </border>
    <border>
      <left style="medium">
        <color auto="1"/>
      </left>
      <right style="medium">
        <color theme="0"/>
      </right>
      <top style="medium">
        <color auto="1"/>
      </top>
      <bottom style="thin">
        <color indexed="64"/>
      </bottom>
      <diagonal/>
    </border>
    <border>
      <left style="medium">
        <color theme="0"/>
      </left>
      <right style="medium">
        <color theme="0"/>
      </right>
      <top style="medium">
        <color auto="1"/>
      </top>
      <bottom/>
      <diagonal/>
    </border>
    <border>
      <left style="medium">
        <color theme="0"/>
      </left>
      <right style="medium">
        <color auto="1"/>
      </right>
      <top style="medium">
        <color auto="1"/>
      </top>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4" fillId="0" borderId="0"/>
    <xf numFmtId="0" fontId="16" fillId="0" borderId="0"/>
    <xf numFmtId="0" fontId="16" fillId="0" borderId="0"/>
    <xf numFmtId="0" fontId="18" fillId="0" borderId="0" applyNumberFormat="0" applyFill="0" applyBorder="0" applyAlignment="0" applyProtection="0"/>
    <xf numFmtId="0" fontId="56" fillId="0" borderId="28" applyNumberFormat="0" applyFill="0" applyProtection="0">
      <alignment horizontal="left" vertical="center" wrapText="1" indent="2"/>
    </xf>
    <xf numFmtId="0" fontId="58" fillId="0" borderId="1" applyNumberFormat="0" applyFill="0" applyAlignment="0" applyProtection="0"/>
    <xf numFmtId="0" fontId="60" fillId="0" borderId="0" applyNumberFormat="0" applyFill="0" applyAlignment="0" applyProtection="0"/>
    <xf numFmtId="0" fontId="55" fillId="0" borderId="0" applyNumberFormat="0" applyFill="0" applyBorder="0" applyAlignment="0" applyProtection="0"/>
  </cellStyleXfs>
  <cellXfs count="392">
    <xf numFmtId="0" fontId="0" fillId="0" borderId="0" xfId="0"/>
    <xf numFmtId="0" fontId="0" fillId="5" borderId="0" xfId="0" applyFill="1"/>
    <xf numFmtId="0" fontId="6" fillId="5" borderId="0" xfId="0" applyFont="1" applyFill="1" applyAlignment="1" applyProtection="1">
      <alignment horizontal="left" vertical="center" wrapText="1"/>
      <protection hidden="1"/>
    </xf>
    <xf numFmtId="0" fontId="7" fillId="0" borderId="0" xfId="0" applyFont="1"/>
    <xf numFmtId="0" fontId="0" fillId="0" borderId="0" xfId="0" applyAlignment="1">
      <alignment vertical="center"/>
    </xf>
    <xf numFmtId="0" fontId="9" fillId="0" borderId="0" xfId="0" applyFont="1" applyAlignment="1">
      <alignment vertical="center"/>
    </xf>
    <xf numFmtId="164" fontId="0" fillId="6" borderId="1" xfId="1" applyNumberFormat="1" applyFont="1" applyFill="1" applyBorder="1" applyAlignment="1">
      <alignment vertical="center"/>
    </xf>
    <xf numFmtId="0" fontId="3" fillId="0" borderId="0" xfId="0" applyFont="1" applyAlignment="1">
      <alignment vertical="center"/>
    </xf>
    <xf numFmtId="0" fontId="0" fillId="0" borderId="0" xfId="0" applyAlignment="1">
      <alignment horizontal="right" vertical="center"/>
    </xf>
    <xf numFmtId="49" fontId="0" fillId="0" borderId="0" xfId="0" applyNumberFormat="1" applyAlignment="1">
      <alignment horizontal="right" vertical="center"/>
    </xf>
    <xf numFmtId="0" fontId="0" fillId="0" borderId="0" xfId="0" applyAlignment="1">
      <alignment wrapText="1"/>
    </xf>
    <xf numFmtId="0" fontId="2" fillId="5" borderId="0" xfId="0" applyFont="1" applyFill="1" applyAlignment="1">
      <alignment horizontal="left" vertical="center" wrapText="1"/>
    </xf>
    <xf numFmtId="0" fontId="4" fillId="5" borderId="0" xfId="0" applyFont="1" applyFill="1" applyAlignment="1">
      <alignment horizontal="left" vertical="center" wrapText="1"/>
    </xf>
    <xf numFmtId="0" fontId="2" fillId="5" borderId="0" xfId="0" applyFont="1" applyFill="1" applyAlignment="1">
      <alignment horizontal="center" vertical="center" wrapText="1"/>
    </xf>
    <xf numFmtId="0" fontId="7" fillId="8" borderId="0" xfId="0" applyFont="1" applyFill="1" applyAlignment="1">
      <alignment horizontal="left" vertical="center" wrapText="1"/>
    </xf>
    <xf numFmtId="0" fontId="11" fillId="8" borderId="0" xfId="0" applyFont="1" applyFill="1" applyAlignment="1">
      <alignment horizontal="center" vertical="center" wrapText="1"/>
    </xf>
    <xf numFmtId="0" fontId="3" fillId="0" borderId="0" xfId="0" applyFont="1"/>
    <xf numFmtId="0" fontId="3" fillId="0" borderId="0" xfId="0" applyFont="1" applyAlignment="1">
      <alignment horizontal="left" wrapText="1"/>
    </xf>
    <xf numFmtId="0" fontId="5" fillId="2" borderId="5" xfId="0" applyFont="1" applyFill="1" applyBorder="1" applyAlignment="1" applyProtection="1">
      <alignment horizontal="centerContinuous" vertical="center" wrapText="1"/>
      <protection hidden="1"/>
    </xf>
    <xf numFmtId="0" fontId="5" fillId="2" borderId="6" xfId="0" applyFont="1" applyFill="1" applyBorder="1" applyAlignment="1" applyProtection="1">
      <alignment horizontal="centerContinuous" vertical="center" wrapText="1"/>
      <protection hidden="1"/>
    </xf>
    <xf numFmtId="0" fontId="5" fillId="2" borderId="7" xfId="0" applyFont="1" applyFill="1" applyBorder="1" applyAlignment="1" applyProtection="1">
      <alignment horizontal="centerContinuous" vertical="center" wrapText="1"/>
      <protection hidden="1"/>
    </xf>
    <xf numFmtId="0" fontId="11" fillId="8" borderId="0" xfId="0" applyFont="1" applyFill="1" applyAlignment="1">
      <alignment horizontal="left" vertical="center"/>
    </xf>
    <xf numFmtId="164" fontId="3" fillId="6" borderId="1" xfId="1" applyNumberFormat="1" applyFont="1" applyFill="1" applyBorder="1" applyAlignment="1">
      <alignment vertical="center"/>
    </xf>
    <xf numFmtId="164" fontId="0" fillId="6" borderId="1" xfId="0" applyNumberFormat="1" applyFill="1" applyBorder="1"/>
    <xf numFmtId="0" fontId="10" fillId="0" borderId="0" xfId="0" applyFont="1"/>
    <xf numFmtId="164" fontId="1" fillId="6" borderId="1" xfId="1" applyNumberFormat="1" applyFill="1" applyBorder="1" applyAlignment="1">
      <alignment vertical="center"/>
    </xf>
    <xf numFmtId="0" fontId="0" fillId="0" borderId="0" xfId="0" applyAlignment="1">
      <alignment horizontal="right"/>
    </xf>
    <xf numFmtId="0" fontId="3" fillId="0" borderId="0" xfId="0" applyFont="1" applyAlignment="1">
      <alignment vertical="center" wrapText="1"/>
    </xf>
    <xf numFmtId="0" fontId="10" fillId="0" borderId="0" xfId="0" applyFont="1" applyAlignment="1">
      <alignment vertical="center"/>
    </xf>
    <xf numFmtId="166" fontId="14" fillId="5" borderId="0" xfId="4" applyFill="1"/>
    <xf numFmtId="0" fontId="0" fillId="0" borderId="0" xfId="0" applyAlignment="1">
      <alignment horizontal="center" vertical="center"/>
    </xf>
    <xf numFmtId="0" fontId="15" fillId="0" borderId="0" xfId="0" applyFont="1"/>
    <xf numFmtId="0" fontId="0" fillId="0" borderId="0" xfId="0" quotePrefix="1"/>
    <xf numFmtId="1" fontId="0" fillId="0" borderId="0" xfId="0" applyNumberFormat="1"/>
    <xf numFmtId="2" fontId="0" fillId="0" borderId="0" xfId="0" applyNumberFormat="1"/>
    <xf numFmtId="0" fontId="0" fillId="0" borderId="1" xfId="0" applyBorder="1"/>
    <xf numFmtId="0" fontId="0" fillId="0" borderId="1" xfId="0" applyBorder="1" applyAlignment="1">
      <alignment wrapText="1"/>
    </xf>
    <xf numFmtId="0" fontId="16" fillId="0" borderId="0" xfId="5"/>
    <xf numFmtId="0" fontId="11" fillId="0" borderId="0" xfId="0" applyFont="1"/>
    <xf numFmtId="0" fontId="3" fillId="0" borderId="1" xfId="0" applyFont="1" applyBorder="1" applyAlignment="1">
      <alignment horizontal="center" vertical="center"/>
    </xf>
    <xf numFmtId="0" fontId="3" fillId="0" borderId="1" xfId="0" applyFont="1" applyBorder="1"/>
    <xf numFmtId="0" fontId="0" fillId="0" borderId="0" xfId="0" applyAlignment="1">
      <alignment horizontal="left"/>
    </xf>
    <xf numFmtId="164" fontId="1" fillId="6" borderId="1" xfId="1" applyNumberFormat="1" applyFill="1" applyBorder="1" applyAlignment="1">
      <alignment horizontal="right" vertical="center"/>
    </xf>
    <xf numFmtId="164" fontId="0" fillId="0" borderId="0" xfId="0" applyNumberFormat="1"/>
    <xf numFmtId="10" fontId="0" fillId="0" borderId="0" xfId="2" applyNumberFormat="1" applyFont="1"/>
    <xf numFmtId="0" fontId="12" fillId="11" borderId="17" xfId="7" applyFont="1" applyFill="1" applyBorder="1" applyAlignment="1">
      <alignment vertical="center"/>
    </xf>
    <xf numFmtId="0" fontId="12" fillId="9" borderId="17" xfId="7" applyFont="1" applyFill="1" applyBorder="1" applyAlignment="1">
      <alignment vertical="center"/>
    </xf>
    <xf numFmtId="0" fontId="0" fillId="0" borderId="1" xfId="0" applyBorder="1" applyAlignment="1">
      <alignment horizontal="left"/>
    </xf>
    <xf numFmtId="9" fontId="0" fillId="0" borderId="0" xfId="2" applyFont="1"/>
    <xf numFmtId="10" fontId="7" fillId="6" borderId="1" xfId="2" applyNumberFormat="1" applyFont="1" applyFill="1" applyBorder="1" applyAlignment="1">
      <alignment horizontal="center" vertical="center"/>
    </xf>
    <xf numFmtId="0" fontId="2" fillId="7" borderId="1" xfId="0" applyFont="1" applyFill="1" applyBorder="1" applyAlignment="1">
      <alignment horizontal="center" vertical="center"/>
    </xf>
    <xf numFmtId="164" fontId="3" fillId="6" borderId="1" xfId="0" applyNumberFormat="1" applyFont="1" applyFill="1" applyBorder="1"/>
    <xf numFmtId="165" fontId="0" fillId="0" borderId="1" xfId="2" applyNumberFormat="1" applyFont="1" applyBorder="1" applyAlignment="1">
      <alignment horizontal="center" vertical="center"/>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7" fillId="5" borderId="0" xfId="0" applyFont="1" applyFill="1"/>
    <xf numFmtId="0" fontId="7" fillId="5" borderId="0" xfId="0" applyFont="1" applyFill="1" applyAlignment="1">
      <alignment horizontal="left" vertical="center" wrapText="1"/>
    </xf>
    <xf numFmtId="164" fontId="0" fillId="6" borderId="1" xfId="0" applyNumberFormat="1" applyFill="1" applyBorder="1" applyAlignment="1">
      <alignment vertical="center"/>
    </xf>
    <xf numFmtId="164" fontId="0" fillId="5" borderId="0" xfId="1" applyNumberFormat="1" applyFont="1" applyFill="1" applyAlignment="1">
      <alignment horizontal="right" vertical="center"/>
    </xf>
    <xf numFmtId="10" fontId="0" fillId="6" borderId="1" xfId="2" applyNumberFormat="1" applyFont="1" applyFill="1" applyBorder="1" applyAlignment="1">
      <alignment horizontal="center" vertical="center"/>
    </xf>
    <xf numFmtId="49" fontId="0" fillId="5" borderId="0" xfId="0" applyNumberFormat="1" applyFill="1" applyAlignment="1">
      <alignment horizontal="right"/>
    </xf>
    <xf numFmtId="0" fontId="7" fillId="5" borderId="0" xfId="0" applyFont="1" applyFill="1" applyAlignment="1">
      <alignment horizontal="left" vertical="center"/>
    </xf>
    <xf numFmtId="0" fontId="11" fillId="5" borderId="0" xfId="0" applyFont="1" applyFill="1" applyAlignment="1">
      <alignment horizontal="center" vertical="center"/>
    </xf>
    <xf numFmtId="0" fontId="22" fillId="0" borderId="0" xfId="0" applyFont="1"/>
    <xf numFmtId="0" fontId="23" fillId="7" borderId="21" xfId="0" applyFont="1" applyFill="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6" fillId="0" borderId="0" xfId="0" applyFont="1"/>
    <xf numFmtId="0" fontId="22" fillId="0" borderId="0" xfId="0" applyFont="1" applyAlignment="1">
      <alignment vertical="center"/>
    </xf>
    <xf numFmtId="0" fontId="26" fillId="0" borderId="0" xfId="0" applyFont="1" applyAlignment="1">
      <alignment vertical="center"/>
    </xf>
    <xf numFmtId="43" fontId="7" fillId="6" borderId="1" xfId="3" quotePrefix="1" applyFont="1" applyFill="1" applyBorder="1" applyAlignment="1">
      <alignment vertical="center"/>
    </xf>
    <xf numFmtId="164" fontId="7" fillId="6" borderId="1" xfId="1" applyNumberFormat="1" applyFont="1" applyFill="1" applyBorder="1" applyAlignment="1">
      <alignment vertical="center"/>
    </xf>
    <xf numFmtId="0" fontId="4" fillId="7" borderId="3" xfId="0" applyFont="1" applyFill="1" applyBorder="1" applyAlignment="1">
      <alignment horizontal="left" vertical="center" wrapText="1"/>
    </xf>
    <xf numFmtId="0" fontId="4" fillId="7" borderId="4" xfId="0" applyFont="1" applyFill="1" applyBorder="1" applyAlignment="1">
      <alignment horizontal="left" vertical="center" wrapText="1"/>
    </xf>
    <xf numFmtId="0" fontId="8" fillId="5" borderId="0" xfId="0" applyFont="1" applyFill="1" applyAlignment="1">
      <alignment vertical="center"/>
    </xf>
    <xf numFmtId="0" fontId="7" fillId="0" borderId="0" xfId="0" applyFont="1" applyAlignment="1">
      <alignment vertical="center" wrapText="1"/>
    </xf>
    <xf numFmtId="0" fontId="2" fillId="7" borderId="3" xfId="0" applyFont="1" applyFill="1" applyBorder="1" applyAlignment="1">
      <alignment horizontal="center" vertical="center" wrapText="1"/>
    </xf>
    <xf numFmtId="44"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165" fontId="0" fillId="0" borderId="0" xfId="2" applyNumberFormat="1" applyFont="1"/>
    <xf numFmtId="165" fontId="0" fillId="0" borderId="0" xfId="2" applyNumberFormat="1" applyFont="1" applyAlignment="1">
      <alignment vertical="center"/>
    </xf>
    <xf numFmtId="0" fontId="20" fillId="0" borderId="2" xfId="0" applyFont="1" applyBorder="1" applyAlignment="1">
      <alignment horizontal="centerContinuous" vertical="center" wrapText="1"/>
    </xf>
    <xf numFmtId="0" fontId="20" fillId="0" borderId="3" xfId="0" applyFont="1" applyBorder="1" applyAlignment="1">
      <alignment horizontal="centerContinuous" vertical="center" wrapText="1"/>
    </xf>
    <xf numFmtId="0" fontId="20" fillId="0" borderId="4" xfId="0" applyFont="1" applyBorder="1" applyAlignment="1">
      <alignment horizontal="centerContinuous" vertical="center" wrapText="1"/>
    </xf>
    <xf numFmtId="10" fontId="0" fillId="5" borderId="0" xfId="2" applyNumberFormat="1" applyFont="1" applyFill="1"/>
    <xf numFmtId="0" fontId="0" fillId="0" borderId="0" xfId="0" applyAlignment="1">
      <alignment vertical="top" wrapText="1"/>
    </xf>
    <xf numFmtId="164" fontId="0" fillId="6" borderId="1" xfId="0" applyNumberFormat="1" applyFill="1" applyBorder="1" applyAlignment="1">
      <alignment horizontal="right" vertical="center"/>
    </xf>
    <xf numFmtId="168" fontId="0" fillId="0" borderId="0" xfId="0" applyNumberFormat="1"/>
    <xf numFmtId="10" fontId="11" fillId="5" borderId="0" xfId="2" applyNumberFormat="1" applyFont="1" applyFill="1" applyAlignment="1">
      <alignment horizontal="center" vertical="center" wrapText="1"/>
    </xf>
    <xf numFmtId="164" fontId="7" fillId="5" borderId="0" xfId="0" applyNumberFormat="1" applyFont="1" applyFill="1" applyAlignment="1">
      <alignment horizontal="left" vertical="center"/>
    </xf>
    <xf numFmtId="9" fontId="7" fillId="5" borderId="0" xfId="2" applyFont="1" applyFill="1" applyAlignment="1">
      <alignment horizontal="left" vertical="center" wrapText="1"/>
    </xf>
    <xf numFmtId="164" fontId="7" fillId="5" borderId="0" xfId="2" applyNumberFormat="1" applyFont="1" applyFill="1" applyAlignment="1">
      <alignment horizontal="left" vertical="center" wrapText="1"/>
    </xf>
    <xf numFmtId="0" fontId="11" fillId="0" borderId="0" xfId="0" applyFont="1" applyAlignment="1">
      <alignment vertical="center"/>
    </xf>
    <xf numFmtId="10" fontId="7" fillId="6" borderId="1" xfId="2" applyNumberFormat="1" applyFont="1" applyFill="1" applyBorder="1" applyAlignment="1">
      <alignment vertical="center"/>
    </xf>
    <xf numFmtId="0" fontId="7" fillId="0" borderId="0" xfId="0" applyFont="1" applyAlignment="1">
      <alignment horizontal="left" vertical="center"/>
    </xf>
    <xf numFmtId="0" fontId="22" fillId="0" borderId="0" xfId="0" applyFont="1" applyAlignment="1">
      <alignment horizontal="left" wrapText="1"/>
    </xf>
    <xf numFmtId="0" fontId="0" fillId="0" borderId="0" xfId="0" applyAlignment="1">
      <alignment horizontal="left" wrapText="1"/>
    </xf>
    <xf numFmtId="0" fontId="0" fillId="5" borderId="0" xfId="0" applyFill="1" applyAlignment="1">
      <alignment wrapText="1"/>
    </xf>
    <xf numFmtId="0" fontId="7" fillId="5" borderId="0" xfId="0" applyFont="1" applyFill="1" applyAlignment="1">
      <alignment wrapText="1"/>
    </xf>
    <xf numFmtId="0" fontId="0" fillId="5" borderId="0" xfId="0" applyFill="1" applyAlignment="1">
      <alignment vertical="center"/>
    </xf>
    <xf numFmtId="0" fontId="7" fillId="5" borderId="0" xfId="0" applyFont="1" applyFill="1" applyAlignment="1">
      <alignment horizontal="left" vertical="top" wrapText="1"/>
    </xf>
    <xf numFmtId="0" fontId="7" fillId="5" borderId="0" xfId="0" applyFont="1" applyFill="1" applyAlignment="1">
      <alignment vertical="center" wrapText="1"/>
    </xf>
    <xf numFmtId="0" fontId="28" fillId="0" borderId="0" xfId="0" applyFont="1" applyAlignment="1">
      <alignment vertical="center"/>
    </xf>
    <xf numFmtId="0" fontId="12" fillId="4" borderId="26" xfId="7" applyFont="1" applyFill="1" applyBorder="1" applyAlignment="1">
      <alignment vertical="center" wrapText="1"/>
    </xf>
    <xf numFmtId="0" fontId="12" fillId="4" borderId="27" xfId="7" applyFont="1" applyFill="1" applyBorder="1" applyAlignment="1">
      <alignment vertical="center" wrapText="1"/>
    </xf>
    <xf numFmtId="0" fontId="12" fillId="4" borderId="20" xfId="7" applyFont="1" applyFill="1" applyBorder="1" applyAlignment="1">
      <alignment vertical="center" wrapText="1"/>
    </xf>
    <xf numFmtId="0" fontId="25" fillId="0" borderId="1" xfId="0" applyFont="1" applyBorder="1" applyAlignment="1">
      <alignment horizontal="centerContinuous" vertical="center" wrapText="1"/>
    </xf>
    <xf numFmtId="0" fontId="0" fillId="0" borderId="3" xfId="0" applyBorder="1" applyAlignment="1">
      <alignment horizontal="centerContinuous"/>
    </xf>
    <xf numFmtId="0" fontId="0" fillId="0" borderId="4" xfId="0" applyBorder="1" applyAlignment="1">
      <alignment horizontal="centerContinuous"/>
    </xf>
    <xf numFmtId="0" fontId="20" fillId="0" borderId="11" xfId="0" applyFont="1" applyBorder="1" applyAlignment="1">
      <alignment horizontal="centerContinuous" vertical="center" wrapText="1"/>
    </xf>
    <xf numFmtId="10" fontId="25" fillId="0" borderId="1" xfId="0" applyNumberFormat="1" applyFont="1" applyBorder="1" applyAlignment="1">
      <alignment horizontal="centerContinuous" vertical="center" wrapText="1"/>
    </xf>
    <xf numFmtId="0" fontId="0" fillId="0" borderId="12" xfId="0" applyBorder="1" applyAlignment="1">
      <alignment horizontal="centerContinuous"/>
    </xf>
    <xf numFmtId="0" fontId="0" fillId="0" borderId="13" xfId="0" applyBorder="1" applyAlignment="1">
      <alignment horizontal="centerContinuous"/>
    </xf>
    <xf numFmtId="0" fontId="25" fillId="0" borderId="13" xfId="0" applyFont="1" applyBorder="1" applyAlignment="1">
      <alignment horizontal="centerContinuous" vertical="center" wrapText="1"/>
    </xf>
    <xf numFmtId="0" fontId="24" fillId="0" borderId="22" xfId="0" applyFont="1" applyBorder="1" applyAlignment="1">
      <alignment horizontal="centerContinuous" vertical="center" wrapText="1"/>
    </xf>
    <xf numFmtId="0" fontId="27" fillId="0" borderId="19" xfId="0" applyFont="1" applyBorder="1" applyAlignment="1">
      <alignment horizontal="centerContinuous" vertical="center" wrapText="1"/>
    </xf>
    <xf numFmtId="0" fontId="0" fillId="0" borderId="0" xfId="0" applyAlignment="1">
      <alignment horizontal="centerContinuous"/>
    </xf>
    <xf numFmtId="10" fontId="0" fillId="6" borderId="1" xfId="2" applyNumberFormat="1" applyFont="1" applyFill="1" applyBorder="1" applyAlignment="1">
      <alignment horizontal="right"/>
    </xf>
    <xf numFmtId="0" fontId="10" fillId="0" borderId="0" xfId="0" applyFont="1" applyAlignment="1">
      <alignment horizontal="left" wrapText="1"/>
    </xf>
    <xf numFmtId="0" fontId="0" fillId="0" borderId="0" xfId="0" applyAlignment="1">
      <alignment horizontal="left" vertical="top" wrapText="1"/>
    </xf>
    <xf numFmtId="0" fontId="0" fillId="0" borderId="0" xfId="0" quotePrefix="1" applyAlignment="1">
      <alignment vertical="center"/>
    </xf>
    <xf numFmtId="0" fontId="10" fillId="0" borderId="0" xfId="0" quotePrefix="1" applyFont="1"/>
    <xf numFmtId="0" fontId="0" fillId="4" borderId="0" xfId="0" applyFill="1"/>
    <xf numFmtId="9" fontId="0" fillId="6" borderId="1" xfId="2" applyFont="1" applyFill="1" applyBorder="1" applyAlignment="1">
      <alignment horizontal="right" vertical="center"/>
    </xf>
    <xf numFmtId="0" fontId="13" fillId="0" borderId="0" xfId="0" applyFont="1" applyAlignment="1">
      <alignment vertical="center" wrapText="1"/>
    </xf>
    <xf numFmtId="164" fontId="11" fillId="6" borderId="1" xfId="0" applyNumberFormat="1" applyFont="1" applyFill="1" applyBorder="1"/>
    <xf numFmtId="164" fontId="0" fillId="6" borderId="1" xfId="1" applyNumberFormat="1" applyFont="1" applyFill="1" applyBorder="1" applyAlignment="1">
      <alignment horizontal="center"/>
    </xf>
    <xf numFmtId="0" fontId="12" fillId="15" borderId="17" xfId="7" applyFont="1" applyFill="1" applyBorder="1" applyAlignment="1">
      <alignment vertical="center" wrapText="1"/>
    </xf>
    <xf numFmtId="0" fontId="12" fillId="16" borderId="17" xfId="7" applyFont="1" applyFill="1" applyBorder="1" applyAlignment="1">
      <alignment vertical="center" wrapText="1"/>
    </xf>
    <xf numFmtId="10" fontId="0" fillId="0" borderId="1" xfId="2" applyNumberFormat="1" applyFont="1" applyBorder="1" applyAlignment="1">
      <alignment horizontal="center" vertical="center"/>
    </xf>
    <xf numFmtId="0" fontId="0" fillId="3" borderId="1" xfId="0" applyFill="1" applyBorder="1" applyAlignment="1">
      <alignment horizontal="centerContinuous" vertical="center"/>
    </xf>
    <xf numFmtId="0" fontId="0" fillId="6" borderId="1" xfId="0" applyFill="1" applyBorder="1" applyAlignment="1">
      <alignment horizontal="centerContinuous" vertical="center"/>
    </xf>
    <xf numFmtId="0" fontId="3" fillId="5" borderId="0" xfId="0" applyFont="1" applyFill="1" applyAlignment="1">
      <alignment horizontal="left" vertical="center" wrapText="1"/>
    </xf>
    <xf numFmtId="0" fontId="3" fillId="0" borderId="1" xfId="0" applyFont="1" applyBorder="1" applyAlignment="1">
      <alignment horizontal="left"/>
    </xf>
    <xf numFmtId="0" fontId="20" fillId="0" borderId="1" xfId="0" applyFont="1" applyBorder="1" applyAlignment="1">
      <alignment horizontal="left" vertical="center" wrapText="1"/>
    </xf>
    <xf numFmtId="0" fontId="10" fillId="0" borderId="0" xfId="0" applyFont="1" applyAlignment="1">
      <alignment wrapText="1"/>
    </xf>
    <xf numFmtId="44" fontId="0" fillId="0" borderId="0" xfId="1" applyFont="1"/>
    <xf numFmtId="2" fontId="0" fillId="0" borderId="0" xfId="3" applyNumberFormat="1" applyFont="1"/>
    <xf numFmtId="2" fontId="0" fillId="0" borderId="0" xfId="3" applyNumberFormat="1" applyFont="1" applyAlignment="1">
      <alignment horizontal="right"/>
    </xf>
    <xf numFmtId="164" fontId="0" fillId="0" borderId="1" xfId="1" applyNumberFormat="1" applyFont="1" applyBorder="1"/>
    <xf numFmtId="1" fontId="0" fillId="0" borderId="1" xfId="0" applyNumberFormat="1" applyBorder="1"/>
    <xf numFmtId="10" fontId="0" fillId="0" borderId="1" xfId="2" applyNumberFormat="1" applyFont="1" applyBorder="1"/>
    <xf numFmtId="10" fontId="10" fillId="0" borderId="0" xfId="2" applyNumberFormat="1" applyFont="1"/>
    <xf numFmtId="0" fontId="18" fillId="0" borderId="0" xfId="7"/>
    <xf numFmtId="0" fontId="10" fillId="0" borderId="0" xfId="0" applyFont="1" applyAlignment="1">
      <alignment vertical="center" wrapText="1"/>
    </xf>
    <xf numFmtId="10" fontId="10" fillId="0" borderId="0" xfId="0" applyNumberFormat="1" applyFont="1" applyAlignment="1">
      <alignment vertical="center" wrapText="1"/>
    </xf>
    <xf numFmtId="10" fontId="0" fillId="0" borderId="1" xfId="0" applyNumberFormat="1" applyBorder="1" applyAlignment="1">
      <alignment horizontal="centerContinuous"/>
    </xf>
    <xf numFmtId="0" fontId="0" fillId="0" borderId="1" xfId="0" applyBorder="1" applyAlignment="1">
      <alignment horizontal="centerContinuous"/>
    </xf>
    <xf numFmtId="44" fontId="10" fillId="0" borderId="0" xfId="1" applyFont="1"/>
    <xf numFmtId="44" fontId="0" fillId="0" borderId="1" xfId="1" applyFont="1" applyBorder="1"/>
    <xf numFmtId="0" fontId="11" fillId="0" borderId="1" xfId="0" applyFont="1" applyBorder="1"/>
    <xf numFmtId="10" fontId="7" fillId="0" borderId="1" xfId="2" applyNumberFormat="1" applyFont="1" applyBorder="1" applyAlignment="1">
      <alignment vertical="center" wrapText="1"/>
    </xf>
    <xf numFmtId="10" fontId="7" fillId="0" borderId="1" xfId="2" applyNumberFormat="1" applyFont="1" applyBorder="1"/>
    <xf numFmtId="9" fontId="3" fillId="0" borderId="1" xfId="2" applyFont="1" applyBorder="1"/>
    <xf numFmtId="10" fontId="0" fillId="0" borderId="0" xfId="0" applyNumberFormat="1" applyAlignment="1">
      <alignment horizontal="right"/>
    </xf>
    <xf numFmtId="10" fontId="0" fillId="6" borderId="1" xfId="2" applyNumberFormat="1" applyFont="1" applyFill="1" applyBorder="1" applyAlignment="1">
      <alignment horizontal="center"/>
    </xf>
    <xf numFmtId="10" fontId="0" fillId="0" borderId="0" xfId="0" applyNumberFormat="1"/>
    <xf numFmtId="43" fontId="7" fillId="6" borderId="1" xfId="3" applyFont="1" applyFill="1" applyBorder="1" applyAlignment="1">
      <alignment vertical="center"/>
    </xf>
    <xf numFmtId="164" fontId="0" fillId="3" borderId="1" xfId="1" applyNumberFormat="1" applyFont="1" applyFill="1" applyBorder="1" applyAlignment="1" applyProtection="1">
      <alignment vertical="center"/>
      <protection locked="0"/>
    </xf>
    <xf numFmtId="9" fontId="0" fillId="3" borderId="1" xfId="2" applyFont="1" applyFill="1" applyBorder="1" applyAlignment="1" applyProtection="1">
      <alignment vertical="center" wrapText="1"/>
      <protection locked="0"/>
    </xf>
    <xf numFmtId="0" fontId="18" fillId="12" borderId="17" xfId="7" applyFill="1" applyBorder="1" applyAlignment="1">
      <alignment vertical="center" wrapText="1"/>
    </xf>
    <xf numFmtId="0" fontId="0" fillId="5" borderId="0" xfId="0" applyFill="1" applyAlignment="1">
      <alignment horizontal="left" vertical="center" wrapText="1"/>
    </xf>
    <xf numFmtId="0" fontId="11" fillId="5" borderId="0" xfId="0" applyFont="1" applyFill="1" applyAlignment="1">
      <alignment horizontal="left" vertical="center"/>
    </xf>
    <xf numFmtId="165" fontId="0" fillId="6" borderId="1" xfId="0" applyNumberFormat="1" applyFill="1" applyBorder="1" applyAlignment="1">
      <alignment vertical="center"/>
    </xf>
    <xf numFmtId="0" fontId="11" fillId="0" borderId="0" xfId="0" applyFont="1" applyAlignment="1">
      <alignment horizontal="left" vertical="center"/>
    </xf>
    <xf numFmtId="1" fontId="0" fillId="0" borderId="0" xfId="0" applyNumberFormat="1" applyAlignment="1">
      <alignment horizontal="right"/>
    </xf>
    <xf numFmtId="164" fontId="3" fillId="6" borderId="1" xfId="0" applyNumberFormat="1" applyFont="1" applyFill="1" applyBorder="1" applyAlignment="1">
      <alignment horizontal="right" vertical="center"/>
    </xf>
    <xf numFmtId="10" fontId="0" fillId="6" borderId="1" xfId="2" applyNumberFormat="1" applyFont="1" applyFill="1" applyBorder="1" applyAlignment="1">
      <alignment horizontal="right" vertical="center"/>
    </xf>
    <xf numFmtId="10" fontId="0" fillId="6" borderId="1" xfId="0" applyNumberFormat="1" applyFill="1" applyBorder="1" applyAlignment="1">
      <alignment vertical="center"/>
    </xf>
    <xf numFmtId="10" fontId="0" fillId="0" borderId="0" xfId="0" applyNumberFormat="1" applyAlignment="1">
      <alignment vertical="center"/>
    </xf>
    <xf numFmtId="0" fontId="11" fillId="0" borderId="0" xfId="0" applyFont="1" applyAlignment="1">
      <alignment wrapText="1"/>
    </xf>
    <xf numFmtId="0" fontId="46" fillId="5" borderId="0" xfId="0" applyFont="1" applyFill="1" applyAlignment="1">
      <alignment horizontal="left" vertical="center" wrapText="1"/>
    </xf>
    <xf numFmtId="0" fontId="47" fillId="5" borderId="0" xfId="0" applyFont="1" applyFill="1" applyAlignment="1">
      <alignment horizontal="left" vertical="center" wrapText="1"/>
    </xf>
    <xf numFmtId="0" fontId="51" fillId="5" borderId="0" xfId="0" applyFont="1" applyFill="1" applyAlignment="1">
      <alignment horizontal="center" vertical="center" wrapText="1"/>
    </xf>
    <xf numFmtId="0" fontId="46" fillId="5" borderId="0" xfId="0" applyFont="1" applyFill="1" applyAlignment="1">
      <alignment horizontal="left" vertical="center"/>
    </xf>
    <xf numFmtId="0" fontId="46" fillId="5" borderId="0" xfId="0" quotePrefix="1" applyFont="1" applyFill="1" applyAlignment="1">
      <alignment horizontal="left" vertical="center"/>
    </xf>
    <xf numFmtId="2" fontId="7" fillId="6" borderId="1" xfId="3" applyNumberFormat="1" applyFont="1" applyFill="1" applyBorder="1" applyAlignment="1">
      <alignment horizontal="right" vertical="center"/>
    </xf>
    <xf numFmtId="2" fontId="7" fillId="6" borderId="1" xfId="3" applyNumberFormat="1" applyFont="1" applyFill="1" applyBorder="1" applyAlignment="1">
      <alignment horizontal="right" vertical="center" wrapText="1"/>
    </xf>
    <xf numFmtId="2" fontId="7" fillId="6" borderId="1" xfId="3" applyNumberFormat="1" applyFont="1" applyFill="1" applyBorder="1" applyAlignment="1">
      <alignment vertical="center"/>
    </xf>
    <xf numFmtId="1" fontId="7" fillId="6" borderId="1" xfId="3" applyNumberFormat="1" applyFont="1" applyFill="1" applyBorder="1" applyAlignment="1">
      <alignment horizontal="right" vertical="center"/>
    </xf>
    <xf numFmtId="1" fontId="0" fillId="0" borderId="0" xfId="0" applyNumberFormat="1" applyAlignment="1">
      <alignment horizontal="center"/>
    </xf>
    <xf numFmtId="2" fontId="0" fillId="6" borderId="19" xfId="3" applyNumberFormat="1" applyFont="1" applyFill="1" applyBorder="1" applyAlignment="1">
      <alignment horizontal="right" vertical="center"/>
    </xf>
    <xf numFmtId="2" fontId="0" fillId="6" borderId="19" xfId="3" applyNumberFormat="1" applyFont="1" applyFill="1" applyBorder="1" applyAlignment="1">
      <alignment horizontal="right" vertical="center" wrapText="1"/>
    </xf>
    <xf numFmtId="2" fontId="7" fillId="6" borderId="19" xfId="3" applyNumberFormat="1" applyFont="1" applyFill="1" applyBorder="1" applyAlignment="1">
      <alignment horizontal="right" vertical="center"/>
    </xf>
    <xf numFmtId="2" fontId="7" fillId="0" borderId="0" xfId="0" applyNumberFormat="1" applyFont="1" applyAlignment="1">
      <alignment horizontal="right"/>
    </xf>
    <xf numFmtId="1" fontId="0" fillId="6" borderId="19" xfId="3" applyNumberFormat="1" applyFont="1" applyFill="1" applyBorder="1" applyAlignment="1">
      <alignment horizontal="right" vertical="center"/>
    </xf>
    <xf numFmtId="2" fontId="7" fillId="0" borderId="0" xfId="0" applyNumberFormat="1" applyFont="1"/>
    <xf numFmtId="0" fontId="7" fillId="0" borderId="0" xfId="0" applyFont="1" applyAlignment="1">
      <alignment horizontal="right"/>
    </xf>
    <xf numFmtId="0" fontId="29" fillId="0" borderId="0" xfId="0" applyFont="1"/>
    <xf numFmtId="0" fontId="9" fillId="5" borderId="0" xfId="0" applyFont="1" applyFill="1" applyAlignment="1">
      <alignment horizontal="left" vertical="center"/>
    </xf>
    <xf numFmtId="0" fontId="49" fillId="4" borderId="0" xfId="0" applyFont="1" applyFill="1" applyAlignment="1">
      <alignment vertical="center" wrapText="1"/>
    </xf>
    <xf numFmtId="0" fontId="49" fillId="4" borderId="0" xfId="0" applyFont="1" applyFill="1" applyAlignment="1">
      <alignment wrapText="1"/>
    </xf>
    <xf numFmtId="1" fontId="7" fillId="6" borderId="1" xfId="3" applyNumberFormat="1" applyFont="1" applyFill="1" applyBorder="1" applyAlignment="1">
      <alignment vertical="center"/>
    </xf>
    <xf numFmtId="170" fontId="0" fillId="0" borderId="0" xfId="0" applyNumberFormat="1"/>
    <xf numFmtId="10" fontId="7" fillId="6" borderId="1" xfId="2" quotePrefix="1" applyNumberFormat="1" applyFont="1" applyFill="1" applyBorder="1" applyAlignment="1">
      <alignment vertical="center" wrapText="1"/>
    </xf>
    <xf numFmtId="10" fontId="7" fillId="6" borderId="1" xfId="2" applyNumberFormat="1" applyFont="1" applyFill="1" applyBorder="1" applyAlignment="1">
      <alignment horizontal="right" vertical="center" wrapText="1"/>
    </xf>
    <xf numFmtId="0" fontId="13" fillId="0" borderId="0" xfId="0" applyFont="1" applyAlignment="1">
      <alignment vertical="top" wrapText="1"/>
    </xf>
    <xf numFmtId="10" fontId="11" fillId="6" borderId="1" xfId="2" quotePrefix="1" applyNumberFormat="1" applyFont="1" applyFill="1" applyBorder="1" applyAlignment="1">
      <alignment vertical="center" wrapText="1"/>
    </xf>
    <xf numFmtId="0" fontId="0" fillId="0" borderId="1" xfId="0" applyBorder="1" applyAlignment="1">
      <alignment horizontal="right"/>
    </xf>
    <xf numFmtId="0" fontId="10" fillId="0" borderId="1" xfId="0" applyFont="1" applyBorder="1" applyAlignment="1">
      <alignment horizontal="right"/>
    </xf>
    <xf numFmtId="0" fontId="2" fillId="13" borderId="0" xfId="0" applyFont="1" applyFill="1"/>
    <xf numFmtId="2" fontId="0" fillId="0" borderId="1" xfId="0" applyNumberFormat="1" applyBorder="1" applyAlignment="1">
      <alignment wrapText="1"/>
    </xf>
    <xf numFmtId="0" fontId="0" fillId="17" borderId="1" xfId="0" applyFill="1" applyBorder="1"/>
    <xf numFmtId="2" fontId="0" fillId="0" borderId="1" xfId="0" applyNumberFormat="1" applyBorder="1"/>
    <xf numFmtId="0" fontId="52" fillId="0" borderId="0" xfId="0" applyFont="1" applyAlignment="1">
      <alignment horizontal="left" vertical="center" wrapText="1" indent="1"/>
    </xf>
    <xf numFmtId="0" fontId="3" fillId="10" borderId="1" xfId="0" applyFont="1" applyFill="1" applyBorder="1" applyAlignment="1" applyProtection="1">
      <alignment vertical="center"/>
      <protection locked="0"/>
    </xf>
    <xf numFmtId="0" fontId="12" fillId="12" borderId="17" xfId="7" applyFont="1" applyFill="1" applyBorder="1" applyAlignment="1">
      <alignment vertical="center" wrapText="1"/>
    </xf>
    <xf numFmtId="0" fontId="3" fillId="6" borderId="1" xfId="0" applyFont="1" applyFill="1" applyBorder="1" applyAlignment="1" applyProtection="1">
      <alignment horizontal="center" vertical="center"/>
      <protection locked="0"/>
    </xf>
    <xf numFmtId="10" fontId="25" fillId="0" borderId="1" xfId="0" applyNumberFormat="1" applyFont="1" applyBorder="1" applyAlignment="1">
      <alignment horizontal="centerContinuous" vertical="center"/>
    </xf>
    <xf numFmtId="2" fontId="0" fillId="3" borderId="1" xfId="0" applyNumberFormat="1" applyFill="1" applyBorder="1" applyAlignment="1" applyProtection="1">
      <alignment horizontal="right"/>
      <protection locked="0"/>
    </xf>
    <xf numFmtId="2" fontId="0" fillId="3" borderId="19" xfId="0" applyNumberFormat="1" applyFill="1" applyBorder="1" applyAlignment="1" applyProtection="1">
      <alignment horizontal="right"/>
      <protection locked="0"/>
    </xf>
    <xf numFmtId="0" fontId="3" fillId="3" borderId="1" xfId="0" applyFont="1" applyFill="1" applyBorder="1" applyAlignment="1" applyProtection="1">
      <alignment horizontal="center" vertical="center"/>
      <protection locked="0"/>
    </xf>
    <xf numFmtId="0" fontId="7" fillId="0" borderId="1" xfId="0" quotePrefix="1" applyFont="1" applyBorder="1" applyAlignment="1">
      <alignment horizontal="right"/>
    </xf>
    <xf numFmtId="0" fontId="7" fillId="0" borderId="1" xfId="0" applyFont="1" applyBorder="1" applyAlignment="1">
      <alignment horizontal="right"/>
    </xf>
    <xf numFmtId="0" fontId="54" fillId="0" borderId="0" xfId="0" applyFont="1"/>
    <xf numFmtId="0" fontId="12" fillId="4" borderId="17" xfId="7" applyFont="1" applyFill="1" applyBorder="1" applyAlignment="1">
      <alignment vertical="center" wrapText="1"/>
    </xf>
    <xf numFmtId="166" fontId="14" fillId="5" borderId="0" xfId="4" applyFill="1" applyAlignment="1">
      <alignment horizontal="left" vertical="center" wrapText="1" indent="1"/>
    </xf>
    <xf numFmtId="166" fontId="14" fillId="18" borderId="0" xfId="4" applyFill="1"/>
    <xf numFmtId="166" fontId="14" fillId="18" borderId="0" xfId="4" applyFill="1" applyAlignment="1">
      <alignment horizontal="left" vertical="center" wrapText="1" indent="1"/>
    </xf>
    <xf numFmtId="0" fontId="60" fillId="7" borderId="0" xfId="10" applyFill="1" applyAlignment="1">
      <alignment horizontal="center" vertical="center" wrapText="1"/>
    </xf>
    <xf numFmtId="0" fontId="60" fillId="7" borderId="29" xfId="10" applyFill="1" applyBorder="1" applyAlignment="1">
      <alignment horizontal="center" vertical="center" wrapText="1"/>
    </xf>
    <xf numFmtId="0" fontId="60" fillId="7" borderId="0" xfId="10" applyFill="1" applyAlignment="1">
      <alignment horizontal="left" vertical="center" wrapText="1"/>
    </xf>
    <xf numFmtId="0" fontId="60" fillId="7" borderId="2" xfId="10" applyFill="1" applyBorder="1" applyAlignment="1">
      <alignment horizontal="left" vertical="center" wrapText="1"/>
    </xf>
    <xf numFmtId="0" fontId="60" fillId="7" borderId="3" xfId="10" applyFill="1" applyBorder="1" applyAlignment="1">
      <alignment horizontal="center" vertical="center" wrapText="1"/>
    </xf>
    <xf numFmtId="0" fontId="2" fillId="7" borderId="3" xfId="0" applyFont="1" applyFill="1" applyBorder="1" applyAlignment="1">
      <alignment horizontal="left" vertical="center" wrapText="1"/>
    </xf>
    <xf numFmtId="0" fontId="6" fillId="0" borderId="0" xfId="0" applyFont="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60" fillId="7" borderId="3" xfId="10" applyFill="1" applyBorder="1" applyAlignment="1">
      <alignment horizontal="left" vertical="center" wrapText="1"/>
    </xf>
    <xf numFmtId="0" fontId="59" fillId="0" borderId="0" xfId="0" applyFont="1" applyAlignment="1">
      <alignment vertical="center"/>
    </xf>
    <xf numFmtId="0" fontId="34" fillId="0" borderId="0" xfId="0" applyFont="1" applyAlignment="1">
      <alignment vertical="center"/>
    </xf>
    <xf numFmtId="0" fontId="32" fillId="0" borderId="0" xfId="0" applyFont="1" applyAlignment="1">
      <alignment vertical="center"/>
    </xf>
    <xf numFmtId="0" fontId="32" fillId="0" borderId="0" xfId="0" applyFont="1" applyAlignment="1">
      <alignment horizontal="left" vertical="center"/>
    </xf>
    <xf numFmtId="0" fontId="59" fillId="0" borderId="0" xfId="0" applyFont="1"/>
    <xf numFmtId="0" fontId="60" fillId="7" borderId="0" xfId="10" applyFill="1" applyAlignment="1">
      <alignment vertical="center" wrapText="1"/>
    </xf>
    <xf numFmtId="0" fontId="11" fillId="0" borderId="0" xfId="0" applyFont="1" applyAlignment="1" applyProtection="1">
      <alignment vertical="top" wrapText="1"/>
      <protection hidden="1"/>
    </xf>
    <xf numFmtId="0" fontId="5" fillId="0" borderId="0" xfId="0" applyFont="1" applyAlignment="1" applyProtection="1">
      <alignment vertical="center" wrapText="1"/>
      <protection hidden="1"/>
    </xf>
    <xf numFmtId="49" fontId="60" fillId="21" borderId="0" xfId="10" applyNumberFormat="1" applyFill="1" applyAlignment="1">
      <alignment horizontal="center" vertical="center" wrapText="1"/>
    </xf>
    <xf numFmtId="0" fontId="58" fillId="0" borderId="0" xfId="9" applyFill="1" applyBorder="1" applyAlignment="1">
      <alignment vertical="center"/>
    </xf>
    <xf numFmtId="166" fontId="38" fillId="5" borderId="8" xfId="4" applyFont="1" applyFill="1" applyBorder="1" applyAlignment="1">
      <alignment horizontal="left" vertical="top" wrapText="1"/>
    </xf>
    <xf numFmtId="166" fontId="14" fillId="5" borderId="9" xfId="4" applyFill="1" applyBorder="1" applyAlignment="1">
      <alignment horizontal="left" vertical="top" wrapText="1"/>
    </xf>
    <xf numFmtId="166" fontId="14" fillId="5" borderId="10" xfId="4" applyFill="1" applyBorder="1" applyAlignment="1">
      <alignment horizontal="left" vertical="top" wrapText="1"/>
    </xf>
    <xf numFmtId="166" fontId="14" fillId="5" borderId="14" xfId="4" applyFill="1" applyBorder="1" applyAlignment="1">
      <alignment horizontal="left" vertical="top" wrapText="1"/>
    </xf>
    <xf numFmtId="166" fontId="14" fillId="5" borderId="0" xfId="4" applyFill="1" applyAlignment="1">
      <alignment horizontal="left" vertical="top" wrapText="1"/>
    </xf>
    <xf numFmtId="166" fontId="14" fillId="5" borderId="15" xfId="4" applyFill="1" applyBorder="1" applyAlignment="1">
      <alignment horizontal="left" vertical="top" wrapText="1"/>
    </xf>
    <xf numFmtId="166" fontId="14" fillId="5" borderId="11" xfId="4" applyFill="1" applyBorder="1" applyAlignment="1">
      <alignment horizontal="left" vertical="top" wrapText="1"/>
    </xf>
    <xf numFmtId="166" fontId="14" fillId="5" borderId="12" xfId="4" applyFill="1" applyBorder="1" applyAlignment="1">
      <alignment horizontal="left" vertical="top" wrapText="1"/>
    </xf>
    <xf numFmtId="166" fontId="14" fillId="5" borderId="13" xfId="4" applyFill="1" applyBorder="1" applyAlignment="1">
      <alignment horizontal="left" vertical="top" wrapText="1"/>
    </xf>
    <xf numFmtId="166" fontId="56" fillId="18" borderId="28" xfId="8" applyNumberFormat="1" applyFill="1" applyAlignment="1">
      <alignment horizontal="left" vertical="center" wrapText="1" indent="1"/>
    </xf>
    <xf numFmtId="0" fontId="15" fillId="0" borderId="0" xfId="0" applyFont="1" applyAlignment="1">
      <alignment horizontal="left" wrapText="1"/>
    </xf>
    <xf numFmtId="0" fontId="7" fillId="0" borderId="2" xfId="0" applyFont="1" applyBorder="1" applyAlignment="1">
      <alignment horizontal="left" vertical="center" wrapText="1"/>
    </xf>
    <xf numFmtId="0" fontId="0" fillId="0" borderId="3" xfId="0" applyBorder="1" applyAlignment="1">
      <alignment horizontal="left" vertical="center" wrapText="1"/>
    </xf>
    <xf numFmtId="0" fontId="0" fillId="0" borderId="16" xfId="0" applyBorder="1" applyAlignment="1">
      <alignment horizontal="left" vertical="center" wrapText="1"/>
    </xf>
    <xf numFmtId="0" fontId="58" fillId="4" borderId="34" xfId="9" applyFill="1" applyBorder="1" applyAlignment="1">
      <alignment horizontal="center" vertical="center"/>
    </xf>
    <xf numFmtId="0" fontId="58" fillId="4" borderId="35" xfId="9" applyFill="1" applyBorder="1" applyAlignment="1">
      <alignment horizontal="center" vertical="center"/>
    </xf>
    <xf numFmtId="0" fontId="58" fillId="4" borderId="36" xfId="9" applyFill="1" applyBorder="1" applyAlignment="1">
      <alignment horizontal="center" vertical="center"/>
    </xf>
    <xf numFmtId="0" fontId="0" fillId="5" borderId="5" xfId="0" applyFill="1" applyBorder="1" applyAlignment="1">
      <alignment horizontal="left" vertical="top" wrapText="1"/>
    </xf>
    <xf numFmtId="0" fontId="0" fillId="5" borderId="6" xfId="0" applyFill="1" applyBorder="1" applyAlignment="1">
      <alignment horizontal="left" vertical="top"/>
    </xf>
    <xf numFmtId="0" fontId="0" fillId="5" borderId="7" xfId="0" applyFill="1" applyBorder="1" applyAlignment="1">
      <alignment horizontal="left" vertical="top"/>
    </xf>
    <xf numFmtId="0" fontId="0" fillId="0" borderId="12" xfId="0" applyBorder="1" applyAlignment="1">
      <alignment horizontal="left" vertical="center" wrapText="1"/>
    </xf>
    <xf numFmtId="0" fontId="0" fillId="0" borderId="24" xfId="0" applyBorder="1" applyAlignment="1">
      <alignment horizontal="left" vertical="center" wrapText="1"/>
    </xf>
    <xf numFmtId="0" fontId="60" fillId="7" borderId="30" xfId="10" applyFill="1" applyBorder="1" applyAlignment="1">
      <alignment horizontal="center" vertical="center" wrapText="1"/>
    </xf>
    <xf numFmtId="0" fontId="60" fillId="7" borderId="31" xfId="10" applyFill="1" applyBorder="1" applyAlignment="1">
      <alignment horizontal="center" vertical="center" wrapText="1"/>
    </xf>
    <xf numFmtId="0" fontId="0" fillId="0" borderId="14" xfId="0" applyBorder="1" applyAlignment="1">
      <alignment horizontal="left" vertical="center" wrapText="1"/>
    </xf>
    <xf numFmtId="0" fontId="0" fillId="0" borderId="0" xfId="0"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vertical="center" wrapText="1"/>
    </xf>
    <xf numFmtId="0" fontId="0" fillId="0" borderId="23" xfId="0" applyBorder="1" applyAlignment="1">
      <alignment horizontal="left" vertical="center" wrapText="1"/>
    </xf>
    <xf numFmtId="0" fontId="0" fillId="0" borderId="18" xfId="0" applyBorder="1" applyAlignment="1">
      <alignment horizontal="left" vertical="center" wrapText="1"/>
    </xf>
    <xf numFmtId="0" fontId="7" fillId="0" borderId="3" xfId="0" applyFont="1" applyBorder="1" applyAlignment="1">
      <alignment horizontal="left" vertical="center" wrapText="1"/>
    </xf>
    <xf numFmtId="0" fontId="7" fillId="0" borderId="16" xfId="0" applyFont="1" applyBorder="1" applyAlignment="1">
      <alignment horizontal="left" vertical="center" wrapText="1"/>
    </xf>
    <xf numFmtId="0" fontId="60" fillId="7" borderId="3" xfId="10" applyFill="1" applyBorder="1" applyAlignment="1">
      <alignment horizontal="center" vertical="center" wrapText="1"/>
    </xf>
    <xf numFmtId="0" fontId="60" fillId="7" borderId="4" xfId="10" applyFill="1" applyBorder="1" applyAlignment="1">
      <alignment horizontal="center" vertical="center" wrapText="1"/>
    </xf>
    <xf numFmtId="0" fontId="7" fillId="0" borderId="0" xfId="0" applyFont="1" applyAlignment="1">
      <alignment horizontal="left" vertical="center" wrapText="1"/>
    </xf>
    <xf numFmtId="0" fontId="58" fillId="19" borderId="2" xfId="9" applyFill="1" applyBorder="1" applyAlignment="1">
      <alignment horizontal="left" vertical="center"/>
    </xf>
    <xf numFmtId="0" fontId="58" fillId="19" borderId="3" xfId="9" applyFill="1" applyBorder="1" applyAlignment="1">
      <alignment horizontal="left" vertical="center"/>
    </xf>
    <xf numFmtId="0" fontId="58" fillId="19" borderId="4" xfId="9" applyFill="1" applyBorder="1" applyAlignment="1">
      <alignment horizontal="left" vertical="center"/>
    </xf>
    <xf numFmtId="0" fontId="11" fillId="19" borderId="2" xfId="0" applyFont="1" applyFill="1" applyBorder="1" applyAlignment="1" applyProtection="1">
      <alignment horizontal="left" vertical="center" wrapText="1"/>
      <protection hidden="1"/>
    </xf>
    <xf numFmtId="0" fontId="7" fillId="19" borderId="3" xfId="0" applyFont="1" applyFill="1" applyBorder="1" applyAlignment="1">
      <alignment horizontal="left" vertical="center" wrapText="1"/>
    </xf>
    <xf numFmtId="0" fontId="7" fillId="19" borderId="4" xfId="0" applyFont="1" applyFill="1" applyBorder="1" applyAlignment="1">
      <alignment horizontal="left" vertical="center" wrapText="1"/>
    </xf>
    <xf numFmtId="0" fontId="55" fillId="8" borderId="0" xfId="11" applyFill="1" applyAlignment="1">
      <alignment horizontal="left" vertical="center" wrapText="1"/>
    </xf>
    <xf numFmtId="0" fontId="55" fillId="20" borderId="0" xfId="11" applyFill="1" applyAlignment="1">
      <alignment horizontal="left" vertical="center" wrapText="1"/>
    </xf>
    <xf numFmtId="0" fontId="0" fillId="0" borderId="0" xfId="0" applyAlignment="1">
      <alignment horizontal="left" vertical="top" wrapText="1"/>
    </xf>
    <xf numFmtId="0" fontId="0" fillId="0" borderId="0" xfId="0" applyAlignment="1">
      <alignment horizontal="left" wrapText="1"/>
    </xf>
    <xf numFmtId="0" fontId="3" fillId="0" borderId="0" xfId="0" applyFont="1" applyAlignment="1">
      <alignment horizontal="left" vertical="center" wrapText="1"/>
    </xf>
    <xf numFmtId="0" fontId="9" fillId="0" borderId="0" xfId="0" applyFont="1" applyAlignment="1">
      <alignment horizontal="left" vertical="center" wrapText="1"/>
    </xf>
    <xf numFmtId="0" fontId="7" fillId="5" borderId="0" xfId="0" applyFont="1" applyFill="1" applyAlignment="1">
      <alignment horizontal="left" vertical="center" wrapText="1"/>
    </xf>
    <xf numFmtId="0" fontId="17" fillId="5" borderId="0" xfId="0" applyFont="1" applyFill="1" applyAlignment="1">
      <alignment horizontal="left" vertical="center" wrapText="1"/>
    </xf>
    <xf numFmtId="0" fontId="58" fillId="19" borderId="32" xfId="9" applyFill="1" applyBorder="1" applyAlignment="1">
      <alignment horizontal="left" vertical="center"/>
    </xf>
    <xf numFmtId="0" fontId="58" fillId="19" borderId="33" xfId="9" applyFill="1" applyBorder="1" applyAlignment="1">
      <alignment horizontal="left" vertical="center"/>
    </xf>
    <xf numFmtId="0" fontId="58" fillId="19" borderId="17" xfId="9" applyFill="1" applyBorder="1" applyAlignment="1">
      <alignment horizontal="left" vertical="center"/>
    </xf>
    <xf numFmtId="0" fontId="11" fillId="19" borderId="11" xfId="0" applyFont="1" applyFill="1" applyBorder="1" applyAlignment="1" applyProtection="1">
      <alignment horizontal="left" vertical="center" wrapText="1"/>
      <protection hidden="1"/>
    </xf>
    <xf numFmtId="0" fontId="11" fillId="19" borderId="19" xfId="0" applyFont="1" applyFill="1" applyBorder="1" applyAlignment="1" applyProtection="1">
      <alignment horizontal="left" vertical="center" wrapText="1"/>
      <protection hidden="1"/>
    </xf>
    <xf numFmtId="0" fontId="0" fillId="5" borderId="0" xfId="0" applyFill="1" applyAlignment="1">
      <alignment horizontal="left" vertical="center" wrapText="1"/>
    </xf>
    <xf numFmtId="0" fontId="3" fillId="0" borderId="0" xfId="0" applyFont="1" applyAlignment="1">
      <alignment horizontal="left" wrapText="1"/>
    </xf>
    <xf numFmtId="0" fontId="7" fillId="0" borderId="0" xfId="0" applyFont="1" applyAlignment="1">
      <alignment horizontal="left" vertical="top" wrapText="1"/>
    </xf>
    <xf numFmtId="0" fontId="10" fillId="0" borderId="0" xfId="0" applyFont="1" applyAlignment="1">
      <alignment horizontal="left" vertical="center" wrapText="1"/>
    </xf>
    <xf numFmtId="0" fontId="15" fillId="0" borderId="0" xfId="0" applyFont="1" applyAlignment="1">
      <alignment horizontal="left" vertical="center" wrapText="1"/>
    </xf>
    <xf numFmtId="0" fontId="7" fillId="0" borderId="0" xfId="0" applyFont="1" applyAlignment="1">
      <alignment horizontal="left" wrapText="1"/>
    </xf>
    <xf numFmtId="0" fontId="7" fillId="0" borderId="0" xfId="0" applyFont="1" applyAlignment="1">
      <alignment horizontal="left" vertical="center"/>
    </xf>
    <xf numFmtId="9" fontId="0" fillId="3" borderId="1" xfId="2" applyFont="1" applyFill="1" applyBorder="1" applyAlignment="1" applyProtection="1">
      <alignment horizontal="center" vertical="center"/>
      <protection locked="0"/>
    </xf>
    <xf numFmtId="0" fontId="0" fillId="0" borderId="0" xfId="0" applyAlignment="1">
      <alignment horizontal="left" vertical="center"/>
    </xf>
    <xf numFmtId="164" fontId="0" fillId="3" borderId="1" xfId="1" applyNumberFormat="1" applyFont="1" applyFill="1" applyBorder="1" applyAlignment="1" applyProtection="1">
      <alignment horizontal="center" vertical="center"/>
      <protection locked="0"/>
    </xf>
    <xf numFmtId="0" fontId="0" fillId="0" borderId="0" xfId="0" applyAlignment="1">
      <alignment vertical="center" wrapText="1"/>
    </xf>
    <xf numFmtId="165" fontId="0" fillId="3" borderId="1" xfId="2" applyNumberFormat="1" applyFont="1" applyFill="1" applyBorder="1" applyAlignment="1" applyProtection="1">
      <alignment horizontal="center" vertical="center"/>
      <protection locked="0"/>
    </xf>
    <xf numFmtId="165" fontId="0" fillId="6" borderId="1" xfId="2" applyNumberFormat="1" applyFont="1" applyFill="1" applyBorder="1" applyAlignment="1">
      <alignment horizontal="center" vertical="center"/>
    </xf>
    <xf numFmtId="165" fontId="3" fillId="6" borderId="1" xfId="2" applyNumberFormat="1" applyFont="1" applyFill="1" applyBorder="1" applyAlignment="1">
      <alignment horizontal="center" vertical="center"/>
    </xf>
    <xf numFmtId="0" fontId="10" fillId="0" borderId="0" xfId="0" applyFont="1" applyAlignment="1">
      <alignment horizontal="center" wrapText="1"/>
    </xf>
    <xf numFmtId="10" fontId="7" fillId="3" borderId="1" xfId="2" applyNumberFormat="1" applyFont="1" applyFill="1" applyBorder="1" applyAlignment="1" applyProtection="1">
      <alignment horizontal="right" vertical="center"/>
      <protection locked="0"/>
    </xf>
    <xf numFmtId="0" fontId="22" fillId="0" borderId="0" xfId="0" applyFont="1" applyAlignment="1">
      <alignment horizontal="left" vertical="center" wrapText="1"/>
    </xf>
    <xf numFmtId="165" fontId="7" fillId="3" borderId="2" xfId="2" applyNumberFormat="1" applyFont="1" applyFill="1" applyBorder="1" applyAlignment="1" applyProtection="1">
      <alignment horizontal="right" vertical="center"/>
      <protection locked="0"/>
    </xf>
    <xf numFmtId="165" fontId="7" fillId="3" borderId="1" xfId="2" applyNumberFormat="1" applyFont="1" applyFill="1" applyBorder="1" applyAlignment="1" applyProtection="1">
      <alignment horizontal="right" vertical="center"/>
      <protection locked="0"/>
    </xf>
    <xf numFmtId="1" fontId="7" fillId="6" borderId="1" xfId="1" applyNumberFormat="1" applyFont="1" applyFill="1" applyBorder="1" applyAlignment="1">
      <alignment horizontal="right" vertical="center"/>
    </xf>
    <xf numFmtId="0" fontId="43" fillId="0" borderId="21" xfId="0" applyFont="1" applyBorder="1" applyAlignment="1">
      <alignment horizontal="left" vertical="center" wrapText="1"/>
    </xf>
    <xf numFmtId="0" fontId="43" fillId="0" borderId="22" xfId="0" applyFont="1" applyBorder="1" applyAlignment="1">
      <alignment horizontal="left" vertical="center" wrapText="1"/>
    </xf>
    <xf numFmtId="0" fontId="43" fillId="0" borderId="19" xfId="0" applyFont="1" applyBorder="1" applyAlignment="1">
      <alignment horizontal="left" vertical="center" wrapText="1"/>
    </xf>
    <xf numFmtId="164" fontId="7" fillId="6" borderId="2" xfId="0" applyNumberFormat="1" applyFont="1" applyFill="1" applyBorder="1" applyAlignment="1">
      <alignment horizontal="center" vertical="center"/>
    </xf>
    <xf numFmtId="164" fontId="7" fillId="6" borderId="3" xfId="0" applyNumberFormat="1" applyFont="1" applyFill="1" applyBorder="1" applyAlignment="1">
      <alignment horizontal="center" vertical="center"/>
    </xf>
    <xf numFmtId="164" fontId="7" fillId="6" borderId="4" xfId="0" applyNumberFormat="1" applyFont="1" applyFill="1" applyBorder="1" applyAlignment="1">
      <alignment horizontal="center" vertical="center"/>
    </xf>
    <xf numFmtId="10" fontId="7" fillId="6" borderId="2" xfId="2" applyNumberFormat="1" applyFont="1" applyFill="1" applyBorder="1" applyAlignment="1">
      <alignment horizontal="right" vertical="center"/>
    </xf>
    <xf numFmtId="10" fontId="7" fillId="6" borderId="3" xfId="2" applyNumberFormat="1" applyFont="1" applyFill="1" applyBorder="1" applyAlignment="1">
      <alignment horizontal="right" vertical="center"/>
    </xf>
    <xf numFmtId="10" fontId="7" fillId="6" borderId="4" xfId="2" applyNumberFormat="1" applyFont="1" applyFill="1" applyBorder="1" applyAlignment="1">
      <alignment horizontal="right" vertical="center"/>
    </xf>
    <xf numFmtId="10" fontId="7" fillId="3" borderId="2" xfId="2" applyNumberFormat="1" applyFont="1" applyFill="1" applyBorder="1" applyAlignment="1" applyProtection="1">
      <alignment horizontal="right" vertical="center"/>
      <protection locked="0"/>
    </xf>
    <xf numFmtId="10" fontId="7" fillId="3" borderId="3" xfId="2" applyNumberFormat="1" applyFont="1" applyFill="1" applyBorder="1" applyAlignment="1" applyProtection="1">
      <alignment horizontal="right" vertical="center"/>
      <protection locked="0"/>
    </xf>
    <xf numFmtId="10" fontId="7" fillId="3" borderId="4" xfId="2" applyNumberFormat="1" applyFont="1" applyFill="1" applyBorder="1" applyAlignment="1" applyProtection="1">
      <alignment horizontal="right" vertical="center"/>
      <protection locked="0"/>
    </xf>
    <xf numFmtId="2" fontId="7" fillId="6" borderId="2" xfId="2" applyNumberFormat="1" applyFont="1" applyFill="1" applyBorder="1" applyAlignment="1">
      <alignment horizontal="right" vertical="center"/>
    </xf>
    <xf numFmtId="2" fontId="7" fillId="6" borderId="3" xfId="2" applyNumberFormat="1" applyFont="1" applyFill="1" applyBorder="1" applyAlignment="1">
      <alignment horizontal="right" vertical="center"/>
    </xf>
    <xf numFmtId="2" fontId="7" fillId="6" borderId="4" xfId="2" applyNumberFormat="1" applyFont="1" applyFill="1" applyBorder="1" applyAlignment="1">
      <alignment horizontal="right" vertical="center"/>
    </xf>
    <xf numFmtId="9" fontId="7" fillId="14" borderId="1" xfId="0" applyNumberFormat="1" applyFont="1" applyFill="1" applyBorder="1" applyAlignment="1">
      <alignment horizontal="right" vertical="center" wrapText="1"/>
    </xf>
    <xf numFmtId="0" fontId="0" fillId="6" borderId="1" xfId="0" applyFill="1" applyBorder="1" applyAlignment="1">
      <alignment horizontal="right" vertical="center" wrapText="1"/>
    </xf>
    <xf numFmtId="10" fontId="0" fillId="6" borderId="1" xfId="2" applyNumberFormat="1" applyFont="1" applyFill="1" applyBorder="1" applyAlignment="1">
      <alignment vertical="center"/>
    </xf>
    <xf numFmtId="169" fontId="7" fillId="6" borderId="1" xfId="2" applyNumberFormat="1" applyFont="1" applyFill="1" applyBorder="1" applyAlignment="1">
      <alignment horizontal="right" vertical="center"/>
    </xf>
    <xf numFmtId="0" fontId="7" fillId="6" borderId="1" xfId="2" applyNumberFormat="1" applyFont="1" applyFill="1" applyBorder="1" applyAlignment="1">
      <alignment horizontal="right" vertical="center"/>
    </xf>
    <xf numFmtId="0" fontId="26" fillId="0" borderId="0" xfId="0" applyFont="1" applyAlignment="1">
      <alignment horizontal="left" wrapText="1"/>
    </xf>
    <xf numFmtId="0" fontId="11" fillId="19" borderId="1" xfId="0" applyFont="1" applyFill="1" applyBorder="1" applyAlignment="1" applyProtection="1">
      <alignment horizontal="left" vertical="center" wrapText="1"/>
      <protection hidden="1"/>
    </xf>
    <xf numFmtId="0" fontId="55" fillId="8" borderId="0" xfId="11" applyFill="1" applyAlignment="1">
      <alignment horizontal="left" vertical="center"/>
    </xf>
    <xf numFmtId="0" fontId="3" fillId="0" borderId="0" xfId="0" applyFont="1" applyAlignment="1">
      <alignment vertical="center" wrapText="1"/>
    </xf>
    <xf numFmtId="169" fontId="7" fillId="6" borderId="2" xfId="2" applyNumberFormat="1" applyFont="1" applyFill="1" applyBorder="1" applyAlignment="1">
      <alignment horizontal="right" vertical="center"/>
    </xf>
    <xf numFmtId="10" fontId="7" fillId="6" borderId="1" xfId="2" applyNumberFormat="1" applyFont="1" applyFill="1" applyBorder="1" applyAlignment="1">
      <alignment horizontal="right" vertical="center"/>
    </xf>
    <xf numFmtId="0" fontId="26" fillId="0" borderId="0" xfId="0" applyFont="1" applyAlignment="1">
      <alignment horizontal="left" vertical="center" wrapText="1"/>
    </xf>
    <xf numFmtId="164" fontId="0" fillId="3" borderId="1" xfId="0" applyNumberFormat="1" applyFill="1" applyBorder="1" applyAlignment="1" applyProtection="1">
      <alignment horizontal="right" vertical="center" wrapText="1"/>
      <protection locked="0"/>
    </xf>
    <xf numFmtId="2" fontId="7" fillId="14" borderId="1" xfId="0" applyNumberFormat="1" applyFont="1" applyFill="1" applyBorder="1" applyAlignment="1">
      <alignment horizontal="right" vertical="center" wrapText="1"/>
    </xf>
    <xf numFmtId="2" fontId="7" fillId="6" borderId="1" xfId="2" applyNumberFormat="1" applyFont="1" applyFill="1" applyBorder="1" applyAlignment="1">
      <alignment horizontal="right" vertical="center"/>
    </xf>
    <xf numFmtId="0" fontId="7" fillId="5" borderId="0" xfId="0" applyFont="1" applyFill="1" applyAlignment="1">
      <alignment horizontal="left" vertical="top" wrapText="1"/>
    </xf>
    <xf numFmtId="0" fontId="0" fillId="5" borderId="0" xfId="0" applyFill="1" applyAlignment="1">
      <alignment horizontal="left" vertical="top" wrapText="1"/>
    </xf>
    <xf numFmtId="0" fontId="46" fillId="4" borderId="0" xfId="0" applyFont="1" applyFill="1" applyAlignment="1">
      <alignment horizontal="left" vertical="center" wrapText="1"/>
    </xf>
    <xf numFmtId="0" fontId="46" fillId="4" borderId="0" xfId="0" applyFont="1" applyFill="1" applyAlignment="1">
      <alignment horizontal="left" vertical="center"/>
    </xf>
    <xf numFmtId="0" fontId="49" fillId="4" borderId="0" xfId="0" applyFont="1" applyFill="1" applyAlignment="1">
      <alignment horizontal="left" vertical="center" wrapText="1"/>
    </xf>
    <xf numFmtId="0" fontId="27" fillId="4" borderId="0" xfId="0" applyFont="1" applyFill="1" applyAlignment="1">
      <alignment horizontal="left" vertical="center" wrapText="1"/>
    </xf>
    <xf numFmtId="0" fontId="60" fillId="7" borderId="0" xfId="10" applyFill="1" applyAlignment="1">
      <alignment horizontal="center" vertical="center" wrapText="1"/>
    </xf>
    <xf numFmtId="0" fontId="49" fillId="4" borderId="0" xfId="0" applyFont="1" applyFill="1" applyAlignment="1">
      <alignment horizontal="left" vertical="center"/>
    </xf>
    <xf numFmtId="0" fontId="49" fillId="4" borderId="0" xfId="0" quotePrefix="1" applyFont="1" applyFill="1" applyAlignment="1">
      <alignment horizontal="left" vertical="center"/>
    </xf>
    <xf numFmtId="0" fontId="11" fillId="19" borderId="3" xfId="0" applyFont="1" applyFill="1" applyBorder="1" applyAlignment="1" applyProtection="1">
      <alignment horizontal="left" vertical="center" wrapText="1"/>
      <protection hidden="1"/>
    </xf>
    <xf numFmtId="0" fontId="11" fillId="19" borderId="4" xfId="0" applyFont="1" applyFill="1" applyBorder="1" applyAlignment="1" applyProtection="1">
      <alignment horizontal="left" vertical="center" wrapText="1"/>
      <protection hidden="1"/>
    </xf>
    <xf numFmtId="0" fontId="0" fillId="3" borderId="1" xfId="0" applyFill="1" applyBorder="1" applyAlignment="1">
      <alignment horizontal="center" vertical="center"/>
    </xf>
    <xf numFmtId="0" fontId="0" fillId="6" borderId="1" xfId="0" applyFill="1" applyBorder="1" applyAlignment="1">
      <alignment horizontal="center" vertical="center"/>
    </xf>
    <xf numFmtId="0" fontId="34" fillId="0" borderId="1" xfId="0" applyFont="1" applyBorder="1" applyAlignment="1">
      <alignment horizontal="center" vertical="center"/>
    </xf>
    <xf numFmtId="0" fontId="11" fillId="0" borderId="0" xfId="0" applyFont="1" applyAlignment="1">
      <alignment horizontal="left" vertical="top" wrapText="1"/>
    </xf>
    <xf numFmtId="0" fontId="0" fillId="4" borderId="0" xfId="0" applyFill="1" applyAlignment="1">
      <alignment horizontal="left" vertical="center" wrapText="1"/>
    </xf>
    <xf numFmtId="0" fontId="34" fillId="0" borderId="0" xfId="0" applyFont="1" applyAlignment="1">
      <alignment horizontal="left" vertical="center" wrapText="1"/>
    </xf>
    <xf numFmtId="167" fontId="7" fillId="6" borderId="1" xfId="3" applyNumberFormat="1" applyFont="1" applyFill="1" applyBorder="1" applyAlignment="1">
      <alignment horizontal="center" vertical="center"/>
    </xf>
    <xf numFmtId="0" fontId="7" fillId="4" borderId="0" xfId="0" applyFont="1" applyFill="1" applyAlignment="1">
      <alignment horizontal="left" vertical="center" wrapText="1"/>
    </xf>
    <xf numFmtId="0" fontId="0" fillId="0" borderId="15" xfId="0" applyBorder="1" applyAlignment="1">
      <alignment horizontal="center" vertical="center" wrapText="1"/>
    </xf>
    <xf numFmtId="0" fontId="0" fillId="0" borderId="12"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0" xfId="0" applyAlignment="1">
      <alignment horizontal="right"/>
    </xf>
    <xf numFmtId="0" fontId="60" fillId="7" borderId="0" xfId="10" applyFill="1" applyAlignment="1">
      <alignment horizontal="left" vertical="center" wrapText="1"/>
    </xf>
    <xf numFmtId="0" fontId="11" fillId="19" borderId="11" xfId="0" applyFont="1" applyFill="1" applyBorder="1" applyAlignment="1" applyProtection="1">
      <alignment horizontal="left" vertical="top" wrapText="1"/>
      <protection hidden="1"/>
    </xf>
    <xf numFmtId="0" fontId="11" fillId="19" borderId="12" xfId="0" applyFont="1" applyFill="1" applyBorder="1" applyAlignment="1" applyProtection="1">
      <alignment horizontal="left" vertical="top" wrapText="1"/>
      <protection hidden="1"/>
    </xf>
    <xf numFmtId="0" fontId="11" fillId="19" borderId="13" xfId="0" applyFont="1" applyFill="1" applyBorder="1" applyAlignment="1" applyProtection="1">
      <alignment horizontal="left" vertical="top" wrapText="1"/>
      <protection hidden="1"/>
    </xf>
    <xf numFmtId="0" fontId="5" fillId="2" borderId="5" xfId="0" applyFont="1" applyFill="1" applyBorder="1" applyAlignment="1" applyProtection="1">
      <alignment horizontal="center" vertical="center" wrapText="1"/>
      <protection hidden="1"/>
    </xf>
    <xf numFmtId="0" fontId="5" fillId="2" borderId="6" xfId="0" applyFont="1" applyFill="1" applyBorder="1" applyAlignment="1" applyProtection="1">
      <alignment horizontal="center" vertical="center" wrapText="1"/>
      <protection hidden="1"/>
    </xf>
    <xf numFmtId="0" fontId="5" fillId="2" borderId="7" xfId="0" applyFont="1" applyFill="1" applyBorder="1" applyAlignment="1" applyProtection="1">
      <alignment horizontal="center" vertical="center" wrapText="1"/>
      <protection hidden="1"/>
    </xf>
    <xf numFmtId="0" fontId="7" fillId="19" borderId="1" xfId="0" applyFont="1" applyFill="1" applyBorder="1" applyAlignment="1" applyProtection="1">
      <alignment horizontal="left" vertical="center" wrapText="1"/>
      <protection hidden="1"/>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4" xfId="0" applyFont="1" applyFill="1" applyBorder="1" applyAlignment="1">
      <alignment horizontal="center" vertical="center"/>
    </xf>
    <xf numFmtId="0" fontId="58" fillId="19" borderId="1" xfId="9" applyFill="1" applyAlignment="1">
      <alignment horizontal="left" vertical="center"/>
    </xf>
    <xf numFmtId="0" fontId="0" fillId="0" borderId="6" xfId="0" applyBorder="1"/>
    <xf numFmtId="0" fontId="0" fillId="0" borderId="7" xfId="0" applyBorder="1"/>
    <xf numFmtId="0" fontId="7" fillId="19" borderId="2" xfId="0" applyFont="1" applyFill="1" applyBorder="1" applyAlignment="1" applyProtection="1">
      <alignment horizontal="left" vertical="center" wrapText="1"/>
      <protection hidden="1"/>
    </xf>
    <xf numFmtId="0" fontId="0" fillId="19" borderId="3" xfId="0" applyFill="1" applyBorder="1" applyAlignment="1">
      <alignment horizontal="left"/>
    </xf>
    <xf numFmtId="0" fontId="0" fillId="19" borderId="4" xfId="0" applyFill="1" applyBorder="1" applyAlignment="1">
      <alignment horizontal="left"/>
    </xf>
    <xf numFmtId="0" fontId="60" fillId="0" borderId="0" xfId="10" applyAlignment="1">
      <alignment horizontal="center" vertical="center" wrapText="1"/>
    </xf>
    <xf numFmtId="0" fontId="7" fillId="19" borderId="11" xfId="0" applyFont="1" applyFill="1" applyBorder="1" applyAlignment="1" applyProtection="1">
      <alignment horizontal="left" vertical="center" wrapText="1"/>
      <protection hidden="1"/>
    </xf>
    <xf numFmtId="0" fontId="11" fillId="19" borderId="12" xfId="0" applyFont="1" applyFill="1" applyBorder="1" applyAlignment="1" applyProtection="1">
      <alignment horizontal="left" vertical="center" wrapText="1"/>
      <protection hidden="1"/>
    </xf>
    <xf numFmtId="0" fontId="0" fillId="19" borderId="12" xfId="0" applyFill="1" applyBorder="1" applyAlignment="1">
      <alignment horizontal="left"/>
    </xf>
    <xf numFmtId="0" fontId="0" fillId="19" borderId="13" xfId="0" applyFill="1" applyBorder="1" applyAlignment="1">
      <alignment horizontal="left"/>
    </xf>
  </cellXfs>
  <cellStyles count="12">
    <cellStyle name="Comma" xfId="3" builtinId="3"/>
    <cellStyle name="Currency" xfId="1" builtinId="4"/>
    <cellStyle name="Heading 1" xfId="8" builtinId="16" customBuiltin="1"/>
    <cellStyle name="Heading 2" xfId="9" builtinId="17" customBuiltin="1"/>
    <cellStyle name="Heading 3" xfId="10" builtinId="18" customBuiltin="1"/>
    <cellStyle name="Heading 4" xfId="11" builtinId="19"/>
    <cellStyle name="Hyperlink" xfId="7" builtinId="8"/>
    <cellStyle name="Normal" xfId="0" builtinId="0"/>
    <cellStyle name="Normal 2" xfId="5" xr:uid="{60ADAC02-1E9B-4931-8479-43B8CC3A5A64}"/>
    <cellStyle name="Normal 4" xfId="4" xr:uid="{173F809A-B2A4-4BBD-A2CE-F862B3053519}"/>
    <cellStyle name="Normal 4 2" xfId="6" xr:uid="{2AB139BE-94B0-415D-9DDD-FA2C80E66830}"/>
    <cellStyle name="Percent" xfId="2" builtinId="5"/>
  </cellStyles>
  <dxfs count="2">
    <dxf>
      <font>
        <color theme="9" tint="-0.24994659260841701"/>
      </font>
    </dxf>
    <dxf>
      <font>
        <color theme="9" tint="-0.24994659260841701"/>
      </font>
    </dxf>
  </dxfs>
  <tableStyles count="0" defaultTableStyle="TableStyleMedium2" defaultPivotStyle="PivotStyleLight16"/>
  <colors>
    <mruColors>
      <color rgb="FFDAE9F8"/>
      <color rgb="FFFAF8F2"/>
      <color rgb="FF004986"/>
      <color rgb="FFC45608"/>
      <color rgb="FFFFFFCC"/>
      <color rgb="FF999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16</xdr:col>
      <xdr:colOff>11972</xdr:colOff>
      <xdr:row>0</xdr:row>
      <xdr:rowOff>9878</xdr:rowOff>
    </xdr:from>
    <xdr:to>
      <xdr:col>18</xdr:col>
      <xdr:colOff>183798</xdr:colOff>
      <xdr:row>1</xdr:row>
      <xdr:rowOff>466725</xdr:rowOff>
    </xdr:to>
    <xdr:pic>
      <xdr:nvPicPr>
        <xdr:cNvPr id="2" name="Picture 1" descr="Logo for Centers for Medicare and Medicaid Services (CMS)">
          <a:extLst>
            <a:ext uri="{FF2B5EF4-FFF2-40B4-BE49-F238E27FC236}">
              <a16:creationId xmlns:a16="http://schemas.microsoft.com/office/drawing/2014/main" id="{39C4F26F-A16F-432A-101C-BCC1AF674829}"/>
            </a:ext>
          </a:extLst>
        </xdr:cNvPr>
        <xdr:cNvPicPr>
          <a:picLocks noChangeAspect="1"/>
        </xdr:cNvPicPr>
      </xdr:nvPicPr>
      <xdr:blipFill>
        <a:blip xmlns:r="http://schemas.openxmlformats.org/officeDocument/2006/relationships" r:embed="rId1"/>
        <a:stretch>
          <a:fillRect/>
        </a:stretch>
      </xdr:blipFill>
      <xdr:spPr>
        <a:xfrm>
          <a:off x="10394222" y="9878"/>
          <a:ext cx="1410076" cy="65687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171078</xdr:colOff>
      <xdr:row>1</xdr:row>
      <xdr:rowOff>64190</xdr:rowOff>
    </xdr:from>
    <xdr:to>
      <xdr:col>2</xdr:col>
      <xdr:colOff>922194</xdr:colOff>
      <xdr:row>1</xdr:row>
      <xdr:rowOff>576376</xdr:rowOff>
    </xdr:to>
    <xdr:pic>
      <xdr:nvPicPr>
        <xdr:cNvPr id="2" name="Picture 3">
          <a:extLst>
            <a:ext uri="{FF2B5EF4-FFF2-40B4-BE49-F238E27FC236}">
              <a16:creationId xmlns:a16="http://schemas.microsoft.com/office/drawing/2014/main" id="{1D1D406F-14AF-4751-A19F-2B771E6E7490}"/>
            </a:ext>
          </a:extLst>
        </xdr:cNvPr>
        <xdr:cNvPicPr>
          <a:picLocks noChangeAspect="1"/>
        </xdr:cNvPicPr>
      </xdr:nvPicPr>
      <xdr:blipFill rotWithShape="1">
        <a:blip xmlns:r="http://schemas.openxmlformats.org/officeDocument/2006/relationships" r:embed="rId1"/>
        <a:srcRect t="10054"/>
        <a:stretch/>
      </xdr:blipFill>
      <xdr:spPr>
        <a:xfrm>
          <a:off x="462431" y="265896"/>
          <a:ext cx="1098498" cy="51218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90134</xdr:colOff>
      <xdr:row>1</xdr:row>
      <xdr:rowOff>216086</xdr:rowOff>
    </xdr:from>
    <xdr:to>
      <xdr:col>1</xdr:col>
      <xdr:colOff>1421893</xdr:colOff>
      <xdr:row>1</xdr:row>
      <xdr:rowOff>721079</xdr:rowOff>
    </xdr:to>
    <xdr:pic>
      <xdr:nvPicPr>
        <xdr:cNvPr id="6" name="Picture 1">
          <a:extLst>
            <a:ext uri="{FF2B5EF4-FFF2-40B4-BE49-F238E27FC236}">
              <a16:creationId xmlns:a16="http://schemas.microsoft.com/office/drawing/2014/main" id="{9434D816-A266-44C0-98E2-F0DF59C93859}"/>
            </a:ext>
          </a:extLst>
        </xdr:cNvPr>
        <xdr:cNvPicPr>
          <a:picLocks noChangeAspect="1"/>
        </xdr:cNvPicPr>
      </xdr:nvPicPr>
      <xdr:blipFill rotWithShape="1">
        <a:blip xmlns:r="http://schemas.openxmlformats.org/officeDocument/2006/relationships" r:embed="rId1"/>
        <a:srcRect t="10054"/>
        <a:stretch/>
      </xdr:blipFill>
      <xdr:spPr>
        <a:xfrm>
          <a:off x="493546" y="406586"/>
          <a:ext cx="1331759" cy="50816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17930</xdr:colOff>
      <xdr:row>1</xdr:row>
      <xdr:rowOff>133910</xdr:rowOff>
    </xdr:from>
    <xdr:to>
      <xdr:col>1</xdr:col>
      <xdr:colOff>1435013</xdr:colOff>
      <xdr:row>1</xdr:row>
      <xdr:rowOff>713983</xdr:rowOff>
    </xdr:to>
    <xdr:pic>
      <xdr:nvPicPr>
        <xdr:cNvPr id="7" name="Picture 3">
          <a:extLst>
            <a:ext uri="{FF2B5EF4-FFF2-40B4-BE49-F238E27FC236}">
              <a16:creationId xmlns:a16="http://schemas.microsoft.com/office/drawing/2014/main" id="{2AAEF8E3-521B-4003-B2BF-E3B1F5660668}"/>
            </a:ext>
          </a:extLst>
        </xdr:cNvPr>
        <xdr:cNvPicPr>
          <a:picLocks noChangeAspect="1"/>
        </xdr:cNvPicPr>
      </xdr:nvPicPr>
      <xdr:blipFill rotWithShape="1">
        <a:blip xmlns:r="http://schemas.openxmlformats.org/officeDocument/2006/relationships" r:embed="rId1"/>
        <a:srcRect t="10054"/>
        <a:stretch/>
      </xdr:blipFill>
      <xdr:spPr>
        <a:xfrm>
          <a:off x="627530" y="324410"/>
          <a:ext cx="1417083" cy="58007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17930</xdr:colOff>
      <xdr:row>1</xdr:row>
      <xdr:rowOff>133910</xdr:rowOff>
    </xdr:from>
    <xdr:to>
      <xdr:col>1</xdr:col>
      <xdr:colOff>1435013</xdr:colOff>
      <xdr:row>1</xdr:row>
      <xdr:rowOff>713983</xdr:rowOff>
    </xdr:to>
    <xdr:pic>
      <xdr:nvPicPr>
        <xdr:cNvPr id="2" name="Picture 3">
          <a:extLst>
            <a:ext uri="{FF2B5EF4-FFF2-40B4-BE49-F238E27FC236}">
              <a16:creationId xmlns:a16="http://schemas.microsoft.com/office/drawing/2014/main" id="{508B7E06-3AE6-4F33-B691-7DA83ADC10C6}"/>
            </a:ext>
          </a:extLst>
        </xdr:cNvPr>
        <xdr:cNvPicPr>
          <a:picLocks noChangeAspect="1"/>
        </xdr:cNvPicPr>
      </xdr:nvPicPr>
      <xdr:blipFill rotWithShape="1">
        <a:blip xmlns:r="http://schemas.openxmlformats.org/officeDocument/2006/relationships" r:embed="rId1"/>
        <a:srcRect t="10054"/>
        <a:stretch/>
      </xdr:blipFill>
      <xdr:spPr>
        <a:xfrm>
          <a:off x="627530" y="324410"/>
          <a:ext cx="1417083" cy="5800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123825</xdr:rowOff>
    </xdr:from>
    <xdr:to>
      <xdr:col>1</xdr:col>
      <xdr:colOff>1628829</xdr:colOff>
      <xdr:row>1</xdr:row>
      <xdr:rowOff>697548</xdr:rowOff>
    </xdr:to>
    <xdr:pic>
      <xdr:nvPicPr>
        <xdr:cNvPr id="9" name="Picture 1">
          <a:extLst>
            <a:ext uri="{FF2B5EF4-FFF2-40B4-BE49-F238E27FC236}">
              <a16:creationId xmlns:a16="http://schemas.microsoft.com/office/drawing/2014/main" id="{3590DBFD-767E-4AF4-A7B7-DCA482105F85}"/>
            </a:ext>
          </a:extLst>
        </xdr:cNvPr>
        <xdr:cNvPicPr>
          <a:picLocks noChangeAspect="1"/>
        </xdr:cNvPicPr>
      </xdr:nvPicPr>
      <xdr:blipFill rotWithShape="1">
        <a:blip xmlns:r="http://schemas.openxmlformats.org/officeDocument/2006/relationships" r:embed="rId1"/>
        <a:srcRect t="10054"/>
        <a:stretch/>
      </xdr:blipFill>
      <xdr:spPr>
        <a:xfrm>
          <a:off x="295275" y="323850"/>
          <a:ext cx="1492304" cy="580073"/>
        </a:xfrm>
        <a:prstGeom prst="rect">
          <a:avLst/>
        </a:prstGeom>
      </xdr:spPr>
    </xdr:pic>
    <xdr:clientData/>
  </xdr:twoCellAnchor>
  <xdr:twoCellAnchor editAs="oneCell">
    <xdr:from>
      <xdr:col>1</xdr:col>
      <xdr:colOff>71732</xdr:colOff>
      <xdr:row>4</xdr:row>
      <xdr:rowOff>2542343</xdr:rowOff>
    </xdr:from>
    <xdr:to>
      <xdr:col>2</xdr:col>
      <xdr:colOff>865844</xdr:colOff>
      <xdr:row>4</xdr:row>
      <xdr:rowOff>3298098</xdr:rowOff>
    </xdr:to>
    <xdr:pic>
      <xdr:nvPicPr>
        <xdr:cNvPr id="2" name="Picture 1">
          <a:extLst>
            <a:ext uri="{FF2B5EF4-FFF2-40B4-BE49-F238E27FC236}">
              <a16:creationId xmlns:a16="http://schemas.microsoft.com/office/drawing/2014/main" id="{66B71FC6-322A-E735-F5B5-82FBAB03A320}"/>
            </a:ext>
          </a:extLst>
        </xdr:cNvPr>
        <xdr:cNvPicPr>
          <a:picLocks noChangeAspect="1"/>
        </xdr:cNvPicPr>
      </xdr:nvPicPr>
      <xdr:blipFill>
        <a:blip xmlns:r="http://schemas.openxmlformats.org/officeDocument/2006/relationships" r:embed="rId2"/>
        <a:stretch>
          <a:fillRect/>
        </a:stretch>
      </xdr:blipFill>
      <xdr:spPr>
        <a:xfrm>
          <a:off x="233657" y="4009193"/>
          <a:ext cx="2584812" cy="755755"/>
        </a:xfrm>
        <a:prstGeom prst="rect">
          <a:avLst/>
        </a:prstGeom>
      </xdr:spPr>
    </xdr:pic>
    <xdr:clientData/>
  </xdr:twoCellAnchor>
  <xdr:twoCellAnchor editAs="oneCell">
    <xdr:from>
      <xdr:col>1</xdr:col>
      <xdr:colOff>107674</xdr:colOff>
      <xdr:row>4</xdr:row>
      <xdr:rowOff>530087</xdr:rowOff>
    </xdr:from>
    <xdr:to>
      <xdr:col>4</xdr:col>
      <xdr:colOff>1210602</xdr:colOff>
      <xdr:row>4</xdr:row>
      <xdr:rowOff>1627367</xdr:rowOff>
    </xdr:to>
    <xdr:pic>
      <xdr:nvPicPr>
        <xdr:cNvPr id="3" name="Picture 2">
          <a:extLst>
            <a:ext uri="{FF2B5EF4-FFF2-40B4-BE49-F238E27FC236}">
              <a16:creationId xmlns:a16="http://schemas.microsoft.com/office/drawing/2014/main" id="{70E53441-3ED2-49B3-A9E4-EF86C3BFBF7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81609" y="1979544"/>
          <a:ext cx="4962623" cy="10972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190500</xdr:colOff>
      <xdr:row>1</xdr:row>
      <xdr:rowOff>161925</xdr:rowOff>
    </xdr:from>
    <xdr:to>
      <xdr:col>2</xdr:col>
      <xdr:colOff>1685979</xdr:colOff>
      <xdr:row>1</xdr:row>
      <xdr:rowOff>741998</xdr:rowOff>
    </xdr:to>
    <xdr:pic>
      <xdr:nvPicPr>
        <xdr:cNvPr id="23" name="Picture 1">
          <a:extLst>
            <a:ext uri="{FF2B5EF4-FFF2-40B4-BE49-F238E27FC236}">
              <a16:creationId xmlns:a16="http://schemas.microsoft.com/office/drawing/2014/main" id="{AD6A27E8-6A0B-464D-B9C1-16F382453349}"/>
            </a:ext>
          </a:extLst>
        </xdr:cNvPr>
        <xdr:cNvPicPr>
          <a:picLocks noChangeAspect="1"/>
        </xdr:cNvPicPr>
      </xdr:nvPicPr>
      <xdr:blipFill rotWithShape="1">
        <a:blip xmlns:r="http://schemas.openxmlformats.org/officeDocument/2006/relationships" r:embed="rId1"/>
        <a:srcRect t="10054"/>
        <a:stretch/>
      </xdr:blipFill>
      <xdr:spPr>
        <a:xfrm>
          <a:off x="514350" y="361950"/>
          <a:ext cx="1495479" cy="580073"/>
        </a:xfrm>
        <a:prstGeom prst="rect">
          <a:avLst/>
        </a:prstGeom>
      </xdr:spPr>
    </xdr:pic>
    <xdr:clientData/>
  </xdr:twoCellAnchor>
  <xdr:twoCellAnchor editAs="oneCell">
    <xdr:from>
      <xdr:col>16</xdr:col>
      <xdr:colOff>818029</xdr:colOff>
      <xdr:row>1</xdr:row>
      <xdr:rowOff>212912</xdr:rowOff>
    </xdr:from>
    <xdr:to>
      <xdr:col>16</xdr:col>
      <xdr:colOff>1306118</xdr:colOff>
      <xdr:row>1</xdr:row>
      <xdr:rowOff>694651</xdr:rowOff>
    </xdr:to>
    <xdr:pic>
      <xdr:nvPicPr>
        <xdr:cNvPr id="107" name="Picture 22">
          <a:extLst>
            <a:ext uri="{FF2B5EF4-FFF2-40B4-BE49-F238E27FC236}">
              <a16:creationId xmlns:a16="http://schemas.microsoft.com/office/drawing/2014/main" id="{8D730DE1-E94F-42D8-A5EB-F9C3FECE6A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68382" y="414618"/>
          <a:ext cx="484914" cy="4849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1277471</xdr:colOff>
      <xdr:row>1</xdr:row>
      <xdr:rowOff>179294</xdr:rowOff>
    </xdr:from>
    <xdr:to>
      <xdr:col>16</xdr:col>
      <xdr:colOff>1762385</xdr:colOff>
      <xdr:row>1</xdr:row>
      <xdr:rowOff>664208</xdr:rowOff>
    </xdr:to>
    <xdr:pic>
      <xdr:nvPicPr>
        <xdr:cNvPr id="2" name="Picture 2">
          <a:extLst>
            <a:ext uri="{FF2B5EF4-FFF2-40B4-BE49-F238E27FC236}">
              <a16:creationId xmlns:a16="http://schemas.microsoft.com/office/drawing/2014/main" id="{0C3579A8-6C9F-956C-74F8-3BF03AF160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19059" y="381000"/>
          <a:ext cx="484914" cy="484914"/>
        </a:xfrm>
        <a:prstGeom prst="rect">
          <a:avLst/>
        </a:prstGeom>
      </xdr:spPr>
    </xdr:pic>
    <xdr:clientData/>
  </xdr:twoCellAnchor>
  <xdr:twoCellAnchor editAs="oneCell">
    <xdr:from>
      <xdr:col>2</xdr:col>
      <xdr:colOff>133350</xdr:colOff>
      <xdr:row>1</xdr:row>
      <xdr:rowOff>123825</xdr:rowOff>
    </xdr:from>
    <xdr:to>
      <xdr:col>2</xdr:col>
      <xdr:colOff>1625654</xdr:colOff>
      <xdr:row>1</xdr:row>
      <xdr:rowOff>697548</xdr:rowOff>
    </xdr:to>
    <xdr:pic>
      <xdr:nvPicPr>
        <xdr:cNvPr id="3" name="Picture 1">
          <a:extLst>
            <a:ext uri="{FF2B5EF4-FFF2-40B4-BE49-F238E27FC236}">
              <a16:creationId xmlns:a16="http://schemas.microsoft.com/office/drawing/2014/main" id="{2BF88B4A-5C46-445E-B431-D5A613A7EE8B}"/>
            </a:ext>
          </a:extLst>
        </xdr:cNvPr>
        <xdr:cNvPicPr>
          <a:picLocks noChangeAspect="1"/>
        </xdr:cNvPicPr>
      </xdr:nvPicPr>
      <xdr:blipFill rotWithShape="1">
        <a:blip xmlns:r="http://schemas.openxmlformats.org/officeDocument/2006/relationships" r:embed="rId2"/>
        <a:srcRect t="10054"/>
        <a:stretch/>
      </xdr:blipFill>
      <xdr:spPr>
        <a:xfrm>
          <a:off x="304800" y="311150"/>
          <a:ext cx="1495479" cy="5768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728383</xdr:colOff>
      <xdr:row>1</xdr:row>
      <xdr:rowOff>137645</xdr:rowOff>
    </xdr:from>
    <xdr:to>
      <xdr:col>16</xdr:col>
      <xdr:colOff>1210122</xdr:colOff>
      <xdr:row>1</xdr:row>
      <xdr:rowOff>616209</xdr:rowOff>
    </xdr:to>
    <xdr:pic>
      <xdr:nvPicPr>
        <xdr:cNvPr id="10" name="Picture 2">
          <a:extLst>
            <a:ext uri="{FF2B5EF4-FFF2-40B4-BE49-F238E27FC236}">
              <a16:creationId xmlns:a16="http://schemas.microsoft.com/office/drawing/2014/main" id="{063FE3E7-48E2-06C3-158C-711365B9E7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58030" y="328145"/>
          <a:ext cx="481739" cy="478564"/>
        </a:xfrm>
        <a:prstGeom prst="rect">
          <a:avLst/>
        </a:prstGeom>
      </xdr:spPr>
    </xdr:pic>
    <xdr:clientData/>
  </xdr:twoCellAnchor>
  <xdr:twoCellAnchor editAs="oneCell">
    <xdr:from>
      <xdr:col>2</xdr:col>
      <xdr:colOff>123265</xdr:colOff>
      <xdr:row>1</xdr:row>
      <xdr:rowOff>145676</xdr:rowOff>
    </xdr:from>
    <xdr:to>
      <xdr:col>2</xdr:col>
      <xdr:colOff>1609219</xdr:colOff>
      <xdr:row>1</xdr:row>
      <xdr:rowOff>713049</xdr:rowOff>
    </xdr:to>
    <xdr:pic>
      <xdr:nvPicPr>
        <xdr:cNvPr id="9" name="Picture 1">
          <a:extLst>
            <a:ext uri="{FF2B5EF4-FFF2-40B4-BE49-F238E27FC236}">
              <a16:creationId xmlns:a16="http://schemas.microsoft.com/office/drawing/2014/main" id="{25578263-2BED-4D50-AA14-7CCC876953AD}"/>
            </a:ext>
          </a:extLst>
        </xdr:cNvPr>
        <xdr:cNvPicPr>
          <a:picLocks noChangeAspect="1"/>
        </xdr:cNvPicPr>
      </xdr:nvPicPr>
      <xdr:blipFill rotWithShape="1">
        <a:blip xmlns:r="http://schemas.openxmlformats.org/officeDocument/2006/relationships" r:embed="rId2"/>
        <a:srcRect t="10054"/>
        <a:stretch/>
      </xdr:blipFill>
      <xdr:spPr>
        <a:xfrm>
          <a:off x="470647" y="336176"/>
          <a:ext cx="1495479" cy="57372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1456764</xdr:colOff>
      <xdr:row>1</xdr:row>
      <xdr:rowOff>201707</xdr:rowOff>
    </xdr:from>
    <xdr:to>
      <xdr:col>13</xdr:col>
      <xdr:colOff>1941678</xdr:colOff>
      <xdr:row>1</xdr:row>
      <xdr:rowOff>686621</xdr:rowOff>
    </xdr:to>
    <xdr:pic>
      <xdr:nvPicPr>
        <xdr:cNvPr id="2" name="Picture 6">
          <a:extLst>
            <a:ext uri="{FF2B5EF4-FFF2-40B4-BE49-F238E27FC236}">
              <a16:creationId xmlns:a16="http://schemas.microsoft.com/office/drawing/2014/main" id="{B9D6046E-9FA7-7621-4552-C28E9AFDBE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963029" y="403413"/>
          <a:ext cx="484914" cy="484914"/>
        </a:xfrm>
        <a:prstGeom prst="rect">
          <a:avLst/>
        </a:prstGeom>
      </xdr:spPr>
    </xdr:pic>
    <xdr:clientData/>
  </xdr:twoCellAnchor>
  <xdr:twoCellAnchor editAs="oneCell">
    <xdr:from>
      <xdr:col>2</xdr:col>
      <xdr:colOff>260910</xdr:colOff>
      <xdr:row>1</xdr:row>
      <xdr:rowOff>198530</xdr:rowOff>
    </xdr:from>
    <xdr:to>
      <xdr:col>2</xdr:col>
      <xdr:colOff>1759564</xdr:colOff>
      <xdr:row>1</xdr:row>
      <xdr:rowOff>772253</xdr:rowOff>
    </xdr:to>
    <xdr:pic>
      <xdr:nvPicPr>
        <xdr:cNvPr id="9" name="Picture 1">
          <a:extLst>
            <a:ext uri="{FF2B5EF4-FFF2-40B4-BE49-F238E27FC236}">
              <a16:creationId xmlns:a16="http://schemas.microsoft.com/office/drawing/2014/main" id="{FF10D015-5874-463D-88C1-E5BABF678CB6}"/>
            </a:ext>
          </a:extLst>
        </xdr:cNvPr>
        <xdr:cNvPicPr>
          <a:picLocks noChangeAspect="1"/>
        </xdr:cNvPicPr>
      </xdr:nvPicPr>
      <xdr:blipFill rotWithShape="1">
        <a:blip xmlns:r="http://schemas.openxmlformats.org/officeDocument/2006/relationships" r:embed="rId2"/>
        <a:srcRect t="10054"/>
        <a:stretch/>
      </xdr:blipFill>
      <xdr:spPr>
        <a:xfrm>
          <a:off x="664322" y="389030"/>
          <a:ext cx="1492304" cy="5705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123265</xdr:colOff>
      <xdr:row>1</xdr:row>
      <xdr:rowOff>145676</xdr:rowOff>
    </xdr:from>
    <xdr:to>
      <xdr:col>3</xdr:col>
      <xdr:colOff>717044</xdr:colOff>
      <xdr:row>1</xdr:row>
      <xdr:rowOff>713049</xdr:rowOff>
    </xdr:to>
    <xdr:pic>
      <xdr:nvPicPr>
        <xdr:cNvPr id="4" name="Picture 1">
          <a:extLst>
            <a:ext uri="{FF2B5EF4-FFF2-40B4-BE49-F238E27FC236}">
              <a16:creationId xmlns:a16="http://schemas.microsoft.com/office/drawing/2014/main" id="{77E5653A-8E29-44CF-BC7D-3CDB9253BEEC}"/>
            </a:ext>
          </a:extLst>
        </xdr:cNvPr>
        <xdr:cNvPicPr>
          <a:picLocks noChangeAspect="1"/>
        </xdr:cNvPicPr>
      </xdr:nvPicPr>
      <xdr:blipFill rotWithShape="1">
        <a:blip xmlns:r="http://schemas.openxmlformats.org/officeDocument/2006/relationships" r:embed="rId1"/>
        <a:srcRect t="10054"/>
        <a:stretch/>
      </xdr:blipFill>
      <xdr:spPr>
        <a:xfrm>
          <a:off x="478865" y="333001"/>
          <a:ext cx="1492304" cy="57372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392205</xdr:colOff>
      <xdr:row>4</xdr:row>
      <xdr:rowOff>89648</xdr:rowOff>
    </xdr:from>
    <xdr:to>
      <xdr:col>12</xdr:col>
      <xdr:colOff>808958</xdr:colOff>
      <xdr:row>7</xdr:row>
      <xdr:rowOff>17359</xdr:rowOff>
    </xdr:to>
    <xdr:pic>
      <xdr:nvPicPr>
        <xdr:cNvPr id="3" name="Picture 4">
          <a:extLst>
            <a:ext uri="{FF2B5EF4-FFF2-40B4-BE49-F238E27FC236}">
              <a16:creationId xmlns:a16="http://schemas.microsoft.com/office/drawing/2014/main" id="{78764D7A-C888-4985-813E-D02F9510FC4E}"/>
            </a:ext>
          </a:extLst>
        </xdr:cNvPr>
        <xdr:cNvPicPr>
          <a:picLocks noChangeAspect="1"/>
        </xdr:cNvPicPr>
      </xdr:nvPicPr>
      <xdr:blipFill>
        <a:blip xmlns:r="http://schemas.openxmlformats.org/officeDocument/2006/relationships" r:embed="rId1"/>
        <a:stretch>
          <a:fillRect/>
        </a:stretch>
      </xdr:blipFill>
      <xdr:spPr>
        <a:xfrm>
          <a:off x="5205505" y="1238998"/>
          <a:ext cx="6201603" cy="1254862"/>
        </a:xfrm>
        <a:prstGeom prst="rect">
          <a:avLst/>
        </a:prstGeom>
      </xdr:spPr>
    </xdr:pic>
    <xdr:clientData/>
  </xdr:twoCellAnchor>
  <xdr:twoCellAnchor editAs="oneCell">
    <xdr:from>
      <xdr:col>2</xdr:col>
      <xdr:colOff>204882</xdr:colOff>
      <xdr:row>1</xdr:row>
      <xdr:rowOff>187324</xdr:rowOff>
    </xdr:from>
    <xdr:to>
      <xdr:col>2</xdr:col>
      <xdr:colOff>1706711</xdr:colOff>
      <xdr:row>1</xdr:row>
      <xdr:rowOff>751522</xdr:rowOff>
    </xdr:to>
    <xdr:pic>
      <xdr:nvPicPr>
        <xdr:cNvPr id="6" name="Picture 1">
          <a:extLst>
            <a:ext uri="{FF2B5EF4-FFF2-40B4-BE49-F238E27FC236}">
              <a16:creationId xmlns:a16="http://schemas.microsoft.com/office/drawing/2014/main" id="{3D30A700-BA25-4F3C-8010-1093F93B4004}"/>
            </a:ext>
          </a:extLst>
        </xdr:cNvPr>
        <xdr:cNvPicPr>
          <a:picLocks noChangeAspect="1"/>
        </xdr:cNvPicPr>
      </xdr:nvPicPr>
      <xdr:blipFill rotWithShape="1">
        <a:blip xmlns:r="http://schemas.openxmlformats.org/officeDocument/2006/relationships" r:embed="rId2"/>
        <a:srcRect t="10054"/>
        <a:stretch/>
      </xdr:blipFill>
      <xdr:spPr>
        <a:xfrm>
          <a:off x="608294" y="377824"/>
          <a:ext cx="1492304" cy="57054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1123950</xdr:colOff>
      <xdr:row>2</xdr:row>
      <xdr:rowOff>180975</xdr:rowOff>
    </xdr:from>
    <xdr:to>
      <xdr:col>15</xdr:col>
      <xdr:colOff>1612039</xdr:colOff>
      <xdr:row>2</xdr:row>
      <xdr:rowOff>665889</xdr:rowOff>
    </xdr:to>
    <xdr:pic>
      <xdr:nvPicPr>
        <xdr:cNvPr id="2" name="Picture 4">
          <a:extLst>
            <a:ext uri="{FF2B5EF4-FFF2-40B4-BE49-F238E27FC236}">
              <a16:creationId xmlns:a16="http://schemas.microsoft.com/office/drawing/2014/main" id="{35F3CB62-7961-0F20-FAC5-5434BC16E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44550" y="571500"/>
          <a:ext cx="484914" cy="484914"/>
        </a:xfrm>
        <a:prstGeom prst="rect">
          <a:avLst/>
        </a:prstGeom>
      </xdr:spPr>
    </xdr:pic>
    <xdr:clientData/>
  </xdr:twoCellAnchor>
  <xdr:twoCellAnchor editAs="oneCell">
    <xdr:from>
      <xdr:col>2</xdr:col>
      <xdr:colOff>123265</xdr:colOff>
      <xdr:row>2</xdr:row>
      <xdr:rowOff>145676</xdr:rowOff>
    </xdr:from>
    <xdr:to>
      <xdr:col>2</xdr:col>
      <xdr:colOff>1612394</xdr:colOff>
      <xdr:row>2</xdr:row>
      <xdr:rowOff>713049</xdr:rowOff>
    </xdr:to>
    <xdr:pic>
      <xdr:nvPicPr>
        <xdr:cNvPr id="5" name="Picture 1">
          <a:extLst>
            <a:ext uri="{FF2B5EF4-FFF2-40B4-BE49-F238E27FC236}">
              <a16:creationId xmlns:a16="http://schemas.microsoft.com/office/drawing/2014/main" id="{DBC5802F-B188-4A83-AB65-C6E49CB09E0C}"/>
            </a:ext>
          </a:extLst>
        </xdr:cNvPr>
        <xdr:cNvPicPr>
          <a:picLocks noChangeAspect="1"/>
        </xdr:cNvPicPr>
      </xdr:nvPicPr>
      <xdr:blipFill rotWithShape="1">
        <a:blip xmlns:r="http://schemas.openxmlformats.org/officeDocument/2006/relationships" r:embed="rId2"/>
        <a:srcRect t="10054"/>
        <a:stretch/>
      </xdr:blipFill>
      <xdr:spPr>
        <a:xfrm>
          <a:off x="478865" y="333001"/>
          <a:ext cx="1492304" cy="57372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A50-5E3F-40AD-BEB7-738ABB5F40B7}">
  <sheetPr>
    <tabColor theme="0"/>
    <pageSetUpPr fitToPage="1"/>
  </sheetPr>
  <dimension ref="B1:XFC68"/>
  <sheetViews>
    <sheetView tabSelected="1" zoomScaleNormal="100" workbookViewId="0">
      <selection activeCell="B4" sqref="B4"/>
    </sheetView>
  </sheetViews>
  <sheetFormatPr defaultColWidth="0" defaultRowHeight="0" customHeight="1" zeroHeight="1"/>
  <cols>
    <col min="1" max="1" width="3.7265625" style="29" customWidth="1"/>
    <col min="2" max="2" width="16" style="29" customWidth="1"/>
    <col min="3" max="16" width="9.7265625" style="29" customWidth="1"/>
    <col min="17" max="18" width="9.26953125" style="29" customWidth="1"/>
    <col min="19" max="19" width="2.81640625" style="29" customWidth="1"/>
    <col min="20" max="16383" width="9.26953125" style="29" hidden="1"/>
    <col min="16384" max="16384" width="2.7265625" style="29" customWidth="1"/>
  </cols>
  <sheetData>
    <row r="1" spans="2:19" ht="16">
      <c r="B1" s="220"/>
      <c r="C1" s="220"/>
      <c r="D1" s="220"/>
      <c r="E1" s="220"/>
      <c r="F1" s="220"/>
      <c r="G1" s="220"/>
      <c r="H1" s="220"/>
      <c r="I1" s="220"/>
      <c r="J1" s="220"/>
      <c r="K1" s="220"/>
      <c r="L1" s="220"/>
      <c r="M1" s="220"/>
      <c r="N1" s="220"/>
      <c r="O1" s="220"/>
      <c r="P1" s="220"/>
      <c r="Q1" s="220"/>
      <c r="R1" s="220"/>
      <c r="S1" s="220"/>
    </row>
    <row r="2" spans="2:19" s="219" customFormat="1" ht="60" customHeight="1" thickBot="1">
      <c r="B2" s="250" t="s">
        <v>403</v>
      </c>
      <c r="C2" s="250"/>
      <c r="D2" s="250"/>
      <c r="E2" s="250"/>
      <c r="F2" s="250"/>
      <c r="G2" s="250"/>
      <c r="H2" s="250"/>
      <c r="I2" s="250"/>
      <c r="J2" s="250"/>
      <c r="K2" s="250"/>
      <c r="L2" s="250"/>
      <c r="M2" s="250"/>
      <c r="N2" s="250"/>
      <c r="O2" s="221"/>
      <c r="P2" s="221"/>
      <c r="Q2" s="221"/>
      <c r="R2" s="221"/>
      <c r="S2" s="221"/>
    </row>
    <row r="3" spans="2:19" ht="16">
      <c r="B3" s="220"/>
      <c r="C3" s="220"/>
      <c r="D3" s="220"/>
      <c r="E3" s="220"/>
      <c r="F3" s="220"/>
      <c r="G3" s="220"/>
      <c r="H3" s="220"/>
      <c r="I3" s="220"/>
      <c r="J3" s="220"/>
      <c r="K3" s="220"/>
      <c r="L3" s="220"/>
      <c r="M3" s="220"/>
      <c r="N3" s="220"/>
      <c r="O3" s="220"/>
      <c r="P3" s="220"/>
      <c r="Q3" s="220"/>
      <c r="R3" s="220"/>
      <c r="S3" s="220"/>
    </row>
    <row r="4" spans="2:19" ht="7.5" customHeight="1"/>
    <row r="5" spans="2:19" ht="6.75" customHeight="1"/>
    <row r="6" spans="2:19" ht="15.65" customHeight="1">
      <c r="B6" s="241" t="s">
        <v>404</v>
      </c>
      <c r="C6" s="242"/>
      <c r="D6" s="242"/>
      <c r="E6" s="242"/>
      <c r="F6" s="242"/>
      <c r="G6" s="242"/>
      <c r="H6" s="242"/>
      <c r="I6" s="242"/>
      <c r="J6" s="242"/>
      <c r="K6" s="242"/>
      <c r="L6" s="242"/>
      <c r="M6" s="242"/>
      <c r="N6" s="242"/>
      <c r="O6" s="242"/>
      <c r="P6" s="242"/>
      <c r="Q6" s="242"/>
      <c r="R6" s="242"/>
      <c r="S6" s="243"/>
    </row>
    <row r="7" spans="2:19" ht="15.65" customHeight="1">
      <c r="B7" s="244"/>
      <c r="C7" s="245"/>
      <c r="D7" s="245"/>
      <c r="E7" s="245"/>
      <c r="F7" s="245"/>
      <c r="G7" s="245"/>
      <c r="H7" s="245"/>
      <c r="I7" s="245"/>
      <c r="J7" s="245"/>
      <c r="K7" s="245"/>
      <c r="L7" s="245"/>
      <c r="M7" s="245"/>
      <c r="N7" s="245"/>
      <c r="O7" s="245"/>
      <c r="P7" s="245"/>
      <c r="Q7" s="245"/>
      <c r="R7" s="245"/>
      <c r="S7" s="246"/>
    </row>
    <row r="8" spans="2:19" ht="15.65" customHeight="1">
      <c r="B8" s="244"/>
      <c r="C8" s="245"/>
      <c r="D8" s="245"/>
      <c r="E8" s="245"/>
      <c r="F8" s="245"/>
      <c r="G8" s="245"/>
      <c r="H8" s="245"/>
      <c r="I8" s="245"/>
      <c r="J8" s="245"/>
      <c r="K8" s="245"/>
      <c r="L8" s="245"/>
      <c r="M8" s="245"/>
      <c r="N8" s="245"/>
      <c r="O8" s="245"/>
      <c r="P8" s="245"/>
      <c r="Q8" s="245"/>
      <c r="R8" s="245"/>
      <c r="S8" s="246"/>
    </row>
    <row r="9" spans="2:19" ht="15.65" customHeight="1">
      <c r="B9" s="244"/>
      <c r="C9" s="245"/>
      <c r="D9" s="245"/>
      <c r="E9" s="245"/>
      <c r="F9" s="245"/>
      <c r="G9" s="245"/>
      <c r="H9" s="245"/>
      <c r="I9" s="245"/>
      <c r="J9" s="245"/>
      <c r="K9" s="245"/>
      <c r="L9" s="245"/>
      <c r="M9" s="245"/>
      <c r="N9" s="245"/>
      <c r="O9" s="245"/>
      <c r="P9" s="245"/>
      <c r="Q9" s="245"/>
      <c r="R9" s="245"/>
      <c r="S9" s="246"/>
    </row>
    <row r="10" spans="2:19" ht="15.65" customHeight="1">
      <c r="B10" s="244"/>
      <c r="C10" s="245"/>
      <c r="D10" s="245"/>
      <c r="E10" s="245"/>
      <c r="F10" s="245"/>
      <c r="G10" s="245"/>
      <c r="H10" s="245"/>
      <c r="I10" s="245"/>
      <c r="J10" s="245"/>
      <c r="K10" s="245"/>
      <c r="L10" s="245"/>
      <c r="M10" s="245"/>
      <c r="N10" s="245"/>
      <c r="O10" s="245"/>
      <c r="P10" s="245"/>
      <c r="Q10" s="245"/>
      <c r="R10" s="245"/>
      <c r="S10" s="246"/>
    </row>
    <row r="11" spans="2:19" ht="15.65" customHeight="1">
      <c r="B11" s="244"/>
      <c r="C11" s="245"/>
      <c r="D11" s="245"/>
      <c r="E11" s="245"/>
      <c r="F11" s="245"/>
      <c r="G11" s="245"/>
      <c r="H11" s="245"/>
      <c r="I11" s="245"/>
      <c r="J11" s="245"/>
      <c r="K11" s="245"/>
      <c r="L11" s="245"/>
      <c r="M11" s="245"/>
      <c r="N11" s="245"/>
      <c r="O11" s="245"/>
      <c r="P11" s="245"/>
      <c r="Q11" s="245"/>
      <c r="R11" s="245"/>
      <c r="S11" s="246"/>
    </row>
    <row r="12" spans="2:19" ht="15.65" customHeight="1">
      <c r="B12" s="244"/>
      <c r="C12" s="245"/>
      <c r="D12" s="245"/>
      <c r="E12" s="245"/>
      <c r="F12" s="245"/>
      <c r="G12" s="245"/>
      <c r="H12" s="245"/>
      <c r="I12" s="245"/>
      <c r="J12" s="245"/>
      <c r="K12" s="245"/>
      <c r="L12" s="245"/>
      <c r="M12" s="245"/>
      <c r="N12" s="245"/>
      <c r="O12" s="245"/>
      <c r="P12" s="245"/>
      <c r="Q12" s="245"/>
      <c r="R12" s="245"/>
      <c r="S12" s="246"/>
    </row>
    <row r="13" spans="2:19" ht="15.65" customHeight="1">
      <c r="B13" s="244"/>
      <c r="C13" s="245"/>
      <c r="D13" s="245"/>
      <c r="E13" s="245"/>
      <c r="F13" s="245"/>
      <c r="G13" s="245"/>
      <c r="H13" s="245"/>
      <c r="I13" s="245"/>
      <c r="J13" s="245"/>
      <c r="K13" s="245"/>
      <c r="L13" s="245"/>
      <c r="M13" s="245"/>
      <c r="N13" s="245"/>
      <c r="O13" s="245"/>
      <c r="P13" s="245"/>
      <c r="Q13" s="245"/>
      <c r="R13" s="245"/>
      <c r="S13" s="246"/>
    </row>
    <row r="14" spans="2:19" ht="15.65" customHeight="1">
      <c r="B14" s="244"/>
      <c r="C14" s="245"/>
      <c r="D14" s="245"/>
      <c r="E14" s="245"/>
      <c r="F14" s="245"/>
      <c r="G14" s="245"/>
      <c r="H14" s="245"/>
      <c r="I14" s="245"/>
      <c r="J14" s="245"/>
      <c r="K14" s="245"/>
      <c r="L14" s="245"/>
      <c r="M14" s="245"/>
      <c r="N14" s="245"/>
      <c r="O14" s="245"/>
      <c r="P14" s="245"/>
      <c r="Q14" s="245"/>
      <c r="R14" s="245"/>
      <c r="S14" s="246"/>
    </row>
    <row r="15" spans="2:19" ht="15.65" customHeight="1">
      <c r="B15" s="244"/>
      <c r="C15" s="245"/>
      <c r="D15" s="245"/>
      <c r="E15" s="245"/>
      <c r="F15" s="245"/>
      <c r="G15" s="245"/>
      <c r="H15" s="245"/>
      <c r="I15" s="245"/>
      <c r="J15" s="245"/>
      <c r="K15" s="245"/>
      <c r="L15" s="245"/>
      <c r="M15" s="245"/>
      <c r="N15" s="245"/>
      <c r="O15" s="245"/>
      <c r="P15" s="245"/>
      <c r="Q15" s="245"/>
      <c r="R15" s="245"/>
      <c r="S15" s="246"/>
    </row>
    <row r="16" spans="2:19" ht="15.65" customHeight="1">
      <c r="B16" s="244"/>
      <c r="C16" s="245"/>
      <c r="D16" s="245"/>
      <c r="E16" s="245"/>
      <c r="F16" s="245"/>
      <c r="G16" s="245"/>
      <c r="H16" s="245"/>
      <c r="I16" s="245"/>
      <c r="J16" s="245"/>
      <c r="K16" s="245"/>
      <c r="L16" s="245"/>
      <c r="M16" s="245"/>
      <c r="N16" s="245"/>
      <c r="O16" s="245"/>
      <c r="P16" s="245"/>
      <c r="Q16" s="245"/>
      <c r="R16" s="245"/>
      <c r="S16" s="246"/>
    </row>
    <row r="17" spans="2:19" ht="15.65" customHeight="1">
      <c r="B17" s="244"/>
      <c r="C17" s="245"/>
      <c r="D17" s="245"/>
      <c r="E17" s="245"/>
      <c r="F17" s="245"/>
      <c r="G17" s="245"/>
      <c r="H17" s="245"/>
      <c r="I17" s="245"/>
      <c r="J17" s="245"/>
      <c r="K17" s="245"/>
      <c r="L17" s="245"/>
      <c r="M17" s="245"/>
      <c r="N17" s="245"/>
      <c r="O17" s="245"/>
      <c r="P17" s="245"/>
      <c r="Q17" s="245"/>
      <c r="R17" s="245"/>
      <c r="S17" s="246"/>
    </row>
    <row r="18" spans="2:19" ht="15.65" customHeight="1">
      <c r="B18" s="244"/>
      <c r="C18" s="245"/>
      <c r="D18" s="245"/>
      <c r="E18" s="245"/>
      <c r="F18" s="245"/>
      <c r="G18" s="245"/>
      <c r="H18" s="245"/>
      <c r="I18" s="245"/>
      <c r="J18" s="245"/>
      <c r="K18" s="245"/>
      <c r="L18" s="245"/>
      <c r="M18" s="245"/>
      <c r="N18" s="245"/>
      <c r="O18" s="245"/>
      <c r="P18" s="245"/>
      <c r="Q18" s="245"/>
      <c r="R18" s="245"/>
      <c r="S18" s="246"/>
    </row>
    <row r="19" spans="2:19" ht="15.65" customHeight="1">
      <c r="B19" s="244"/>
      <c r="C19" s="245"/>
      <c r="D19" s="245"/>
      <c r="E19" s="245"/>
      <c r="F19" s="245"/>
      <c r="G19" s="245"/>
      <c r="H19" s="245"/>
      <c r="I19" s="245"/>
      <c r="J19" s="245"/>
      <c r="K19" s="245"/>
      <c r="L19" s="245"/>
      <c r="M19" s="245"/>
      <c r="N19" s="245"/>
      <c r="O19" s="245"/>
      <c r="P19" s="245"/>
      <c r="Q19" s="245"/>
      <c r="R19" s="245"/>
      <c r="S19" s="246"/>
    </row>
    <row r="20" spans="2:19" ht="15.65" customHeight="1">
      <c r="B20" s="244"/>
      <c r="C20" s="245"/>
      <c r="D20" s="245"/>
      <c r="E20" s="245"/>
      <c r="F20" s="245"/>
      <c r="G20" s="245"/>
      <c r="H20" s="245"/>
      <c r="I20" s="245"/>
      <c r="J20" s="245"/>
      <c r="K20" s="245"/>
      <c r="L20" s="245"/>
      <c r="M20" s="245"/>
      <c r="N20" s="245"/>
      <c r="O20" s="245"/>
      <c r="P20" s="245"/>
      <c r="Q20" s="245"/>
      <c r="R20" s="245"/>
      <c r="S20" s="246"/>
    </row>
    <row r="21" spans="2:19" ht="12.75" customHeight="1">
      <c r="B21" s="244"/>
      <c r="C21" s="245"/>
      <c r="D21" s="245"/>
      <c r="E21" s="245"/>
      <c r="F21" s="245"/>
      <c r="G21" s="245"/>
      <c r="H21" s="245"/>
      <c r="I21" s="245"/>
      <c r="J21" s="245"/>
      <c r="K21" s="245"/>
      <c r="L21" s="245"/>
      <c r="M21" s="245"/>
      <c r="N21" s="245"/>
      <c r="O21" s="245"/>
      <c r="P21" s="245"/>
      <c r="Q21" s="245"/>
      <c r="R21" s="245"/>
      <c r="S21" s="246"/>
    </row>
    <row r="22" spans="2:19" ht="14.25" customHeight="1">
      <c r="B22" s="244"/>
      <c r="C22" s="245"/>
      <c r="D22" s="245"/>
      <c r="E22" s="245"/>
      <c r="F22" s="245"/>
      <c r="G22" s="245"/>
      <c r="H22" s="245"/>
      <c r="I22" s="245"/>
      <c r="J22" s="245"/>
      <c r="K22" s="245"/>
      <c r="L22" s="245"/>
      <c r="M22" s="245"/>
      <c r="N22" s="245"/>
      <c r="O22" s="245"/>
      <c r="P22" s="245"/>
      <c r="Q22" s="245"/>
      <c r="R22" s="245"/>
      <c r="S22" s="246"/>
    </row>
    <row r="23" spans="2:19" ht="15.65" customHeight="1">
      <c r="B23" s="244"/>
      <c r="C23" s="245"/>
      <c r="D23" s="245"/>
      <c r="E23" s="245"/>
      <c r="F23" s="245"/>
      <c r="G23" s="245"/>
      <c r="H23" s="245"/>
      <c r="I23" s="245"/>
      <c r="J23" s="245"/>
      <c r="K23" s="245"/>
      <c r="L23" s="245"/>
      <c r="M23" s="245"/>
      <c r="N23" s="245"/>
      <c r="O23" s="245"/>
      <c r="P23" s="245"/>
      <c r="Q23" s="245"/>
      <c r="R23" s="245"/>
      <c r="S23" s="246"/>
    </row>
    <row r="24" spans="2:19" ht="8.15" customHeight="1">
      <c r="B24" s="244"/>
      <c r="C24" s="245"/>
      <c r="D24" s="245"/>
      <c r="E24" s="245"/>
      <c r="F24" s="245"/>
      <c r="G24" s="245"/>
      <c r="H24" s="245"/>
      <c r="I24" s="245"/>
      <c r="J24" s="245"/>
      <c r="K24" s="245"/>
      <c r="L24" s="245"/>
      <c r="M24" s="245"/>
      <c r="N24" s="245"/>
      <c r="O24" s="245"/>
      <c r="P24" s="245"/>
      <c r="Q24" s="245"/>
      <c r="R24" s="245"/>
      <c r="S24" s="246"/>
    </row>
    <row r="25" spans="2:19" ht="9.65" customHeight="1">
      <c r="B25" s="244"/>
      <c r="C25" s="245"/>
      <c r="D25" s="245"/>
      <c r="E25" s="245"/>
      <c r="F25" s="245"/>
      <c r="G25" s="245"/>
      <c r="H25" s="245"/>
      <c r="I25" s="245"/>
      <c r="J25" s="245"/>
      <c r="K25" s="245"/>
      <c r="L25" s="245"/>
      <c r="M25" s="245"/>
      <c r="N25" s="245"/>
      <c r="O25" s="245"/>
      <c r="P25" s="245"/>
      <c r="Q25" s="245"/>
      <c r="R25" s="245"/>
      <c r="S25" s="246"/>
    </row>
    <row r="26" spans="2:19" ht="34.5" customHeight="1">
      <c r="B26" s="247"/>
      <c r="C26" s="248"/>
      <c r="D26" s="248"/>
      <c r="E26" s="248"/>
      <c r="F26" s="248"/>
      <c r="G26" s="248"/>
      <c r="H26" s="248"/>
      <c r="I26" s="248"/>
      <c r="J26" s="248"/>
      <c r="K26" s="248"/>
      <c r="L26" s="248"/>
      <c r="M26" s="248"/>
      <c r="N26" s="248"/>
      <c r="O26" s="248"/>
      <c r="P26" s="248"/>
      <c r="Q26" s="248"/>
      <c r="R26" s="248"/>
      <c r="S26" s="249"/>
    </row>
    <row r="27" spans="2:19" ht="6.75" customHeight="1"/>
    <row r="28" spans="2:19" ht="15.65" customHeight="1">
      <c r="B28" s="217" t="s">
        <v>0</v>
      </c>
    </row>
    <row r="29" spans="2:19" ht="15.65" customHeight="1"/>
    <row r="65" s="29" customFormat="1" ht="0" hidden="1" customHeight="1"/>
    <row r="66" s="29" customFormat="1" ht="0" hidden="1" customHeight="1"/>
    <row r="67" s="29" customFormat="1" ht="0" hidden="1" customHeight="1"/>
    <row r="68" s="29" customFormat="1" ht="0" hidden="1" customHeight="1"/>
  </sheetData>
  <sheetProtection algorithmName="SHA-512" hashValue="G/Cc3Dx/sPWoU4GGH5JqlxCVZoCRg/qo7G6EKqTv7wwj9uC0T+tXIQkkSi3V421CrMdX/T8L5m+zlGycIKxCeA==" saltValue="Y2ezn/Scqw1u2FGoIdW7YQ==" spinCount="100000" sheet="1" objects="1" scenarios="1"/>
  <mergeCells count="2">
    <mergeCell ref="B6:S26"/>
    <mergeCell ref="B2:N2"/>
  </mergeCells>
  <pageMargins left="0.7" right="0.7" top="0.75" bottom="0.75" header="0.3" footer="0.3"/>
  <pageSetup scale="68" orientation="landscape" r:id="rId1"/>
  <headerFooter>
    <oddHeader>&amp;C&amp;A</oddHeader>
    <oddFooter>&amp;F</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EF59C-9C8D-4B74-8D84-85990EA20524}">
  <dimension ref="A1:M57"/>
  <sheetViews>
    <sheetView showGridLines="0" topLeftCell="A22" workbookViewId="0">
      <selection activeCell="D54" sqref="D54"/>
    </sheetView>
  </sheetViews>
  <sheetFormatPr defaultRowHeight="14.5"/>
  <cols>
    <col min="1" max="1" width="12.7265625" customWidth="1"/>
    <col min="2" max="2" width="67.54296875" customWidth="1"/>
    <col min="3" max="3" width="15" customWidth="1"/>
    <col min="4" max="4" width="12.81640625" bestFit="1" customWidth="1"/>
    <col min="5" max="5" width="14.7265625" bestFit="1" customWidth="1"/>
    <col min="6" max="6" width="18.1796875" bestFit="1" customWidth="1"/>
    <col min="7" max="7" width="12.54296875" bestFit="1" customWidth="1"/>
    <col min="8" max="8" width="15.1796875" customWidth="1"/>
    <col min="9" max="9" width="12.453125" bestFit="1" customWidth="1"/>
  </cols>
  <sheetData>
    <row r="1" spans="2:9">
      <c r="B1" t="s">
        <v>327</v>
      </c>
    </row>
    <row r="2" spans="2:9">
      <c r="B2" s="201" t="s">
        <v>328</v>
      </c>
      <c r="C2" s="35" t="s">
        <v>329</v>
      </c>
      <c r="D2" s="35" t="s">
        <v>330</v>
      </c>
      <c r="E2" s="35" t="s">
        <v>331</v>
      </c>
      <c r="F2" s="35" t="s">
        <v>332</v>
      </c>
      <c r="G2" s="35" t="s">
        <v>333</v>
      </c>
      <c r="H2" s="35" t="s">
        <v>285</v>
      </c>
      <c r="I2" s="35" t="s">
        <v>281</v>
      </c>
    </row>
    <row r="3" spans="2:9">
      <c r="B3" s="201" t="s">
        <v>280</v>
      </c>
      <c r="C3" s="35">
        <v>1.2</v>
      </c>
      <c r="D3" s="35">
        <v>0.6</v>
      </c>
      <c r="E3" s="35">
        <v>0</v>
      </c>
      <c r="F3" s="35">
        <v>-0.6</v>
      </c>
      <c r="G3" s="35">
        <v>-1.2</v>
      </c>
      <c r="H3" s="35" t="s">
        <v>285</v>
      </c>
    </row>
    <row r="4" spans="2:9">
      <c r="B4" s="201" t="s">
        <v>284</v>
      </c>
      <c r="C4" s="35" t="s">
        <v>282</v>
      </c>
      <c r="D4" s="35" t="s">
        <v>282</v>
      </c>
      <c r="E4" s="35" t="s">
        <v>282</v>
      </c>
      <c r="F4" s="35" t="s">
        <v>282</v>
      </c>
      <c r="G4" s="35" t="s">
        <v>282</v>
      </c>
      <c r="H4" s="35" t="s">
        <v>285</v>
      </c>
    </row>
    <row r="5" spans="2:9">
      <c r="B5" s="201" t="s">
        <v>286</v>
      </c>
      <c r="C5" s="35">
        <v>60</v>
      </c>
      <c r="D5" s="35">
        <v>30</v>
      </c>
      <c r="E5" s="35">
        <v>0</v>
      </c>
      <c r="F5" s="35">
        <v>-30</v>
      </c>
      <c r="G5" s="35">
        <v>-60</v>
      </c>
      <c r="H5" s="35" t="s">
        <v>285</v>
      </c>
    </row>
    <row r="6" spans="2:9">
      <c r="B6" s="201" t="s">
        <v>289</v>
      </c>
      <c r="C6" s="35">
        <v>0.5</v>
      </c>
      <c r="D6" s="35">
        <v>0.25</v>
      </c>
      <c r="E6" s="35">
        <v>0</v>
      </c>
      <c r="F6" s="35">
        <v>-0.25</v>
      </c>
      <c r="G6" s="35">
        <v>-0.5</v>
      </c>
      <c r="H6" s="35" t="s">
        <v>285</v>
      </c>
    </row>
    <row r="7" spans="2:9">
      <c r="B7" s="201" t="s">
        <v>291</v>
      </c>
      <c r="C7" s="35">
        <v>8</v>
      </c>
      <c r="D7" s="35">
        <v>4</v>
      </c>
      <c r="E7" s="35">
        <v>0</v>
      </c>
      <c r="F7" s="35">
        <v>-4</v>
      </c>
      <c r="G7" s="35">
        <v>-8</v>
      </c>
      <c r="H7" s="35" t="s">
        <v>285</v>
      </c>
    </row>
    <row r="8" spans="2:9">
      <c r="B8" s="201" t="s">
        <v>293</v>
      </c>
      <c r="C8" s="35">
        <v>-23</v>
      </c>
      <c r="D8" s="35">
        <v>-10</v>
      </c>
      <c r="E8" s="35">
        <v>0</v>
      </c>
      <c r="F8" s="35">
        <v>10</v>
      </c>
      <c r="G8" s="35">
        <v>23</v>
      </c>
      <c r="H8" s="35" t="s">
        <v>285</v>
      </c>
    </row>
    <row r="9" spans="2:9">
      <c r="B9" s="201" t="s">
        <v>334</v>
      </c>
      <c r="C9" s="35">
        <v>-10</v>
      </c>
      <c r="D9" s="35">
        <v>-5</v>
      </c>
      <c r="E9" s="35">
        <v>0</v>
      </c>
      <c r="F9" s="35">
        <v>5</v>
      </c>
      <c r="G9" s="35">
        <v>10</v>
      </c>
      <c r="H9" s="35" t="s">
        <v>285</v>
      </c>
    </row>
    <row r="10" spans="2:9">
      <c r="B10" s="202" t="s">
        <v>335</v>
      </c>
      <c r="C10" s="35"/>
      <c r="D10" s="35"/>
      <c r="E10" s="35"/>
      <c r="F10" s="35"/>
      <c r="G10" s="35"/>
      <c r="H10" s="35" t="s">
        <v>285</v>
      </c>
    </row>
    <row r="11" spans="2:9">
      <c r="B11" s="201" t="s">
        <v>297</v>
      </c>
      <c r="C11" s="35">
        <v>-25</v>
      </c>
      <c r="D11" s="35">
        <v>-12</v>
      </c>
      <c r="E11" s="35">
        <v>0</v>
      </c>
      <c r="F11" s="35">
        <v>12</v>
      </c>
      <c r="G11" s="35">
        <v>25</v>
      </c>
      <c r="H11" s="35" t="s">
        <v>285</v>
      </c>
    </row>
    <row r="12" spans="2:9">
      <c r="B12" s="201" t="s">
        <v>298</v>
      </c>
      <c r="C12" s="35">
        <v>-20</v>
      </c>
      <c r="D12" s="35">
        <f t="shared" ref="D12" si="0">C12/2</f>
        <v>-10</v>
      </c>
      <c r="E12" s="35">
        <v>0</v>
      </c>
      <c r="F12" s="35">
        <v>10</v>
      </c>
      <c r="G12" s="35">
        <v>20</v>
      </c>
      <c r="H12" s="35" t="s">
        <v>285</v>
      </c>
    </row>
    <row r="13" spans="2:9">
      <c r="B13" s="201" t="s">
        <v>299</v>
      </c>
      <c r="C13" s="35">
        <v>-25</v>
      </c>
      <c r="D13" s="35">
        <v>-12</v>
      </c>
      <c r="E13" s="35">
        <v>0</v>
      </c>
      <c r="F13" s="35">
        <v>12</v>
      </c>
      <c r="G13" s="35">
        <v>25</v>
      </c>
      <c r="H13" s="35" t="s">
        <v>285</v>
      </c>
    </row>
    <row r="14" spans="2:9">
      <c r="B14" s="201" t="s">
        <v>300</v>
      </c>
      <c r="C14" s="35">
        <v>-25</v>
      </c>
      <c r="D14" s="35">
        <v>-12</v>
      </c>
      <c r="E14" s="35">
        <v>0</v>
      </c>
      <c r="F14" s="35">
        <v>12</v>
      </c>
      <c r="G14" s="35">
        <v>25</v>
      </c>
      <c r="H14" s="35" t="s">
        <v>285</v>
      </c>
    </row>
    <row r="15" spans="2:9">
      <c r="B15" s="201" t="s">
        <v>301</v>
      </c>
      <c r="C15" s="35">
        <v>-25</v>
      </c>
      <c r="D15" s="35">
        <v>-12</v>
      </c>
      <c r="E15" s="35">
        <v>0</v>
      </c>
      <c r="F15" s="35">
        <v>12</v>
      </c>
      <c r="G15" s="35">
        <v>25</v>
      </c>
      <c r="H15" s="35" t="s">
        <v>285</v>
      </c>
    </row>
    <row r="16" spans="2:9">
      <c r="B16" s="201" t="s">
        <v>302</v>
      </c>
      <c r="C16" s="35">
        <v>-25</v>
      </c>
      <c r="D16" s="35">
        <v>-12</v>
      </c>
      <c r="E16" s="35">
        <v>0</v>
      </c>
      <c r="F16" s="35">
        <v>12</v>
      </c>
      <c r="G16" s="35">
        <v>25</v>
      </c>
      <c r="H16" s="35" t="s">
        <v>285</v>
      </c>
    </row>
    <row r="17" spans="1:13">
      <c r="B17" s="201" t="s">
        <v>303</v>
      </c>
      <c r="C17" s="35">
        <v>-35</v>
      </c>
      <c r="D17" s="35">
        <v>-15</v>
      </c>
      <c r="E17" s="35">
        <v>0</v>
      </c>
      <c r="F17" s="35">
        <v>15</v>
      </c>
      <c r="G17" s="35">
        <v>35</v>
      </c>
      <c r="H17" s="35" t="s">
        <v>285</v>
      </c>
    </row>
    <row r="18" spans="1:13">
      <c r="B18" s="201" t="s">
        <v>304</v>
      </c>
      <c r="C18" s="35">
        <v>-20</v>
      </c>
      <c r="D18" s="35">
        <v>-10</v>
      </c>
      <c r="E18" s="35">
        <v>0</v>
      </c>
      <c r="F18" s="35">
        <v>10</v>
      </c>
      <c r="G18" s="35">
        <v>20</v>
      </c>
      <c r="H18" s="35" t="s">
        <v>285</v>
      </c>
    </row>
    <row r="20" spans="1:13">
      <c r="B20" s="203" t="s">
        <v>336</v>
      </c>
      <c r="C20" s="203" t="str">
        <f>'Step 4a. CAH Quality Measures'!G11</f>
        <v/>
      </c>
    </row>
    <row r="21" spans="1:13">
      <c r="B21" s="26" t="s">
        <v>337</v>
      </c>
    </row>
    <row r="22" spans="1:13">
      <c r="A22" s="364" t="s">
        <v>338</v>
      </c>
      <c r="B22" s="201" t="s">
        <v>328</v>
      </c>
      <c r="C22" s="35" t="s">
        <v>329</v>
      </c>
      <c r="D22" s="35" t="s">
        <v>330</v>
      </c>
      <c r="E22" s="35" t="s">
        <v>331</v>
      </c>
      <c r="F22" s="35" t="s">
        <v>332</v>
      </c>
      <c r="G22" s="35" t="s">
        <v>333</v>
      </c>
      <c r="H22" s="35" t="s">
        <v>281</v>
      </c>
      <c r="I22" s="35" t="s">
        <v>285</v>
      </c>
    </row>
    <row r="23" spans="1:13">
      <c r="A23" s="364"/>
      <c r="B23" s="201" t="s">
        <v>280</v>
      </c>
      <c r="C23" s="204" t="str">
        <f>IFERROR(MIN(MAX(C3+'Step 4a. CAH Quality Measures'!$L$19, 0), 100),"Not Reported")</f>
        <v>Not Reported</v>
      </c>
      <c r="D23" s="204" t="str">
        <f>IFERROR(MIN(MAX(D3+'Step 4a. CAH Quality Measures'!$L$19, 0), 100),"Not Reported")</f>
        <v>Not Reported</v>
      </c>
      <c r="E23" s="204" t="str">
        <f>IFERROR(MIN(MAX(E3+'Step 4a. CAH Quality Measures'!$L$19, 0), 100),"Not Reported")</f>
        <v>Not Reported</v>
      </c>
      <c r="F23" s="204" t="str">
        <f>IFERROR(MIN(MAX(F3+'Step 4a. CAH Quality Measures'!$L$19, 0), 100),"Not Reported")</f>
        <v>Not Reported</v>
      </c>
      <c r="G23" s="204" t="str">
        <f>IFERROR(MIN(MAX(G3+'Step 4a. CAH Quality Measures'!$L$19, 0), 100),"Not Reported")</f>
        <v>Not Reported</v>
      </c>
      <c r="H23" s="205" t="e" cm="1">
        <f t="array" ref="H23">_xlfn.XLOOKUP(1,($C$20='Quality Results'!$C:$C)*(2023='Quality Results'!D:D),'Quality Results'!E:E)</f>
        <v>#N/A</v>
      </c>
      <c r="I23" s="35" t="s">
        <v>285</v>
      </c>
      <c r="K23" t="s">
        <v>283</v>
      </c>
    </row>
    <row r="24" spans="1:13">
      <c r="A24" s="364"/>
      <c r="B24" s="201" t="s">
        <v>284</v>
      </c>
      <c r="C24" s="206" t="str">
        <f>IFERROR(C4+'Step 4a. CAH Quality Measures'!$L$20,"Not Reported")</f>
        <v>Not Reported</v>
      </c>
      <c r="D24" s="206" t="str">
        <f>IFERROR(D4+'Step 4a. CAH Quality Measures'!$L$20,"Not Reported")</f>
        <v>Not Reported</v>
      </c>
      <c r="E24" s="206" t="str">
        <f>IFERROR(E4+'Step 4a. CAH Quality Measures'!$L$20,"Not Reported")</f>
        <v>Not Reported</v>
      </c>
      <c r="F24" s="206" t="str">
        <f>IFERROR(F4+'Step 4a. CAH Quality Measures'!$L$20,"Not Reported")</f>
        <v>Not Reported</v>
      </c>
      <c r="G24" s="206" t="str">
        <f>IFERROR(G4+'Step 4a. CAH Quality Measures'!$L$20,"Not Reported")</f>
        <v>Not Reported</v>
      </c>
      <c r="H24" s="205" t="e" cm="1">
        <f t="array" ref="H24">_xlfn.XLOOKUP(1,($C$20='Quality Results'!$C:$C)*(2023='Quality Results'!D:D),'Quality Results'!F:F)</f>
        <v>#N/A</v>
      </c>
      <c r="I24" s="35" t="s">
        <v>285</v>
      </c>
      <c r="K24" s="31"/>
    </row>
    <row r="25" spans="1:13">
      <c r="A25" s="364"/>
      <c r="B25" s="201" t="s">
        <v>286</v>
      </c>
      <c r="C25" s="206" t="str">
        <f>IFERROR(MIN(MAX(C5+'Step 4a. CAH Quality Measures'!$L$21, 0), 100),"Not Reported")</f>
        <v>Not Reported</v>
      </c>
      <c r="D25" s="206" t="str">
        <f>IFERROR(MIN(MAX(D5+'Step 4a. CAH Quality Measures'!$L$21, 0), 100),"Not Reported")</f>
        <v>Not Reported</v>
      </c>
      <c r="E25" s="206" t="str">
        <f>IFERROR(MIN(MAX(E5+'Step 4a. CAH Quality Measures'!$L$21, 0), 100),"Not Reported")</f>
        <v>Not Reported</v>
      </c>
      <c r="F25" s="206" t="str">
        <f>IFERROR(MIN(MAX(F5+'Step 4a. CAH Quality Measures'!$L$21, 0), 100),"Not Reported")</f>
        <v>Not Reported</v>
      </c>
      <c r="G25" s="206" t="str">
        <f>IFERROR(MIN(MAX(G5+'Step 4a. CAH Quality Measures'!$L$21, 0), 100),"Not Reported")</f>
        <v>Not Reported</v>
      </c>
      <c r="H25" s="205" t="e" cm="1">
        <f t="array" ref="H25">_xlfn.XLOOKUP(1,($C$20='Quality Results'!$C:$C)*(2023='Quality Results'!D:D),'Quality Results'!G:G)</f>
        <v>#N/A</v>
      </c>
      <c r="I25" s="35" t="s">
        <v>285</v>
      </c>
      <c r="K25" t="s">
        <v>287</v>
      </c>
    </row>
    <row r="26" spans="1:13">
      <c r="A26" s="364"/>
      <c r="B26" s="201" t="s">
        <v>289</v>
      </c>
      <c r="C26" s="206" t="str">
        <f>IFERROR(C6+'Step 4a. CAH Quality Measures'!$L$22,"Not Reported")</f>
        <v>Not Reported</v>
      </c>
      <c r="D26" s="206" t="str">
        <f>IFERROR(D6+'Step 4a. CAH Quality Measures'!$L$22,"Not Reported")</f>
        <v>Not Reported</v>
      </c>
      <c r="E26" s="206" t="str">
        <f>IFERROR(E6+'Step 4a. CAH Quality Measures'!$L$22,"Not Reported")</f>
        <v>Not Reported</v>
      </c>
      <c r="F26" s="206" t="str">
        <f>IFERROR(F6+'Step 4a. CAH Quality Measures'!$L$22,"Not Reported")</f>
        <v>Not Reported</v>
      </c>
      <c r="G26" s="206" t="str">
        <f>IFERROR(G6+'Step 4a. CAH Quality Measures'!$L$22,"Not Reported")</f>
        <v>Not Reported</v>
      </c>
      <c r="H26" s="205" t="e" cm="1">
        <f t="array" ref="H26">_xlfn.XLOOKUP(1,($C$20='Quality Results'!$C:$C)*(2023='Quality Results'!D:D),'Quality Results'!H:H)</f>
        <v>#N/A</v>
      </c>
      <c r="I26" s="35" t="s">
        <v>285</v>
      </c>
      <c r="K26" t="s">
        <v>290</v>
      </c>
      <c r="M26" s="24" t="s">
        <v>339</v>
      </c>
    </row>
    <row r="27" spans="1:13">
      <c r="A27" s="364"/>
      <c r="B27" s="201" t="s">
        <v>291</v>
      </c>
      <c r="C27" s="206" t="str">
        <f>IFERROR(MIN(MAX(C7+'Step 4a. CAH Quality Measures'!$L$23, 0), 100),"Not Reported")</f>
        <v>Not Reported</v>
      </c>
      <c r="D27" s="206" t="str">
        <f>IFERROR(MIN(MAX(D7+'Step 4a. CAH Quality Measures'!$L$23, 0), 100),"Not Reported")</f>
        <v>Not Reported</v>
      </c>
      <c r="E27" s="206" t="str">
        <f>IFERROR(MIN(MAX(E7+'Step 4a. CAH Quality Measures'!$L$23, 0), 100),"Not Reported")</f>
        <v>Not Reported</v>
      </c>
      <c r="F27" s="206" t="str">
        <f>IFERROR(MIN(MAX(F7+'Step 4a. CAH Quality Measures'!$L$23, 0), 100),"Not Reported")</f>
        <v>Not Reported</v>
      </c>
      <c r="G27" s="206" t="str">
        <f>IFERROR(MIN(MAX(G7+'Step 4a. CAH Quality Measures'!$L$23, 0), 100),"Not Reported")</f>
        <v>Not Reported</v>
      </c>
      <c r="H27" s="205" t="e" cm="1">
        <f t="array" ref="H27">_xlfn.XLOOKUP(1,($C$20='Quality Results'!$C:$C)*(2023='Quality Results'!D:D),'Quality Results'!I:I)</f>
        <v>#N/A</v>
      </c>
      <c r="I27" s="35" t="s">
        <v>285</v>
      </c>
      <c r="K27" t="s">
        <v>283</v>
      </c>
    </row>
    <row r="28" spans="1:13">
      <c r="A28" s="364"/>
      <c r="B28" s="201" t="s">
        <v>293</v>
      </c>
      <c r="C28" s="206" t="str">
        <f>IFERROR(C8+'Step 4a. CAH Quality Measures'!$L$24,"Not Reported")</f>
        <v>Not Reported</v>
      </c>
      <c r="D28" s="206" t="str">
        <f>IFERROR(D8+'Step 4a. CAH Quality Measures'!$L$24,"Not Reported")</f>
        <v>Not Reported</v>
      </c>
      <c r="E28" s="206" t="str">
        <f>IFERROR(E8+'Step 4a. CAH Quality Measures'!$L$24,"Not Reported")</f>
        <v>Not Reported</v>
      </c>
      <c r="F28" s="206" t="str">
        <f>IFERROR(F8+'Step 4a. CAH Quality Measures'!$L$24,"Not Reported")</f>
        <v>Not Reported</v>
      </c>
      <c r="G28" s="206" t="str">
        <f>IFERROR(G8+'Step 4a. CAH Quality Measures'!$L$24,"Not Reported")</f>
        <v>Not Reported</v>
      </c>
      <c r="H28" s="205" t="e" cm="1">
        <f t="array" ref="H28">_xlfn.XLOOKUP(1,($C$20='Quality Results'!$C:$C)*(2023='Quality Results'!D:D),'Quality Results'!J:J)</f>
        <v>#N/A</v>
      </c>
      <c r="I28" s="35" t="s">
        <v>285</v>
      </c>
      <c r="K28" t="s">
        <v>290</v>
      </c>
    </row>
    <row r="29" spans="1:13">
      <c r="A29" s="364"/>
      <c r="B29" s="201" t="s">
        <v>334</v>
      </c>
      <c r="C29" s="206" t="str">
        <f>IFERROR(C9+'Step 4a. CAH Quality Measures'!$L$25,"Not Reported")</f>
        <v>Not Reported</v>
      </c>
      <c r="D29" s="206" t="str">
        <f>IFERROR(D9+'Step 4a. CAH Quality Measures'!$L$25,"Not Reported")</f>
        <v>Not Reported</v>
      </c>
      <c r="E29" s="206" t="str">
        <f>IFERROR(E9+'Step 4a. CAH Quality Measures'!$L$25,"Not Reported")</f>
        <v>Not Reported</v>
      </c>
      <c r="F29" s="206" t="str">
        <f>IFERROR(F9+'Step 4a. CAH Quality Measures'!$L$25,"Not Reported")</f>
        <v>Not Reported</v>
      </c>
      <c r="G29" s="206" t="str">
        <f>IFERROR(G9+'Step 4a. CAH Quality Measures'!$L$25,"Not Reported")</f>
        <v>Not Reported</v>
      </c>
      <c r="H29" s="205" t="e" cm="1">
        <f t="array" ref="H29">_xlfn.XLOOKUP(1,($C$20='Quality Results'!$C:$C)*(2023='Quality Results'!D:D),'Quality Results'!K:K)</f>
        <v>#N/A</v>
      </c>
      <c r="I29" s="35" t="s">
        <v>285</v>
      </c>
      <c r="K29" t="s">
        <v>290</v>
      </c>
    </row>
    <row r="30" spans="1:13">
      <c r="A30" s="364"/>
      <c r="B30" s="190" t="s">
        <v>295</v>
      </c>
      <c r="C30" s="206" t="str">
        <f>IFERROR(MIN(MAX(C10+'Step 4a. CAH Quality Measures'!$L$26, 0), 100),"Not Reported")</f>
        <v>Not Reported</v>
      </c>
      <c r="D30" s="206" t="str">
        <f>IFERROR(MIN(MAX(D10+'Step 4a. CAH Quality Measures'!$L$26, 0), 100),"Not Reported")</f>
        <v>Not Reported</v>
      </c>
      <c r="E30" s="206" t="str">
        <f>IFERROR(MIN(MAX(E10+'Step 4a. CAH Quality Measures'!$L$26, 0), 100),"Not Reported")</f>
        <v>Not Reported</v>
      </c>
      <c r="F30" s="206" t="str">
        <f>IFERROR(MIN(MAX(F10+'Step 4a. CAH Quality Measures'!$L$26, 0), 100),"Not Reported")</f>
        <v>Not Reported</v>
      </c>
      <c r="G30" s="206" t="str">
        <f>IFERROR(MIN(MAX(G10+'Step 4a. CAH Quality Measures'!$L$26, 0), 100),"Not Reported")</f>
        <v>Not Reported</v>
      </c>
      <c r="H30" s="205" t="e" cm="1">
        <f t="array" ref="H30">_xlfn.XLOOKUP(1,($C$20='Quality Results'!$C:$C)*(2023='Quality Results'!D:D),'Quality Results'!L:L)</f>
        <v>#N/A</v>
      </c>
      <c r="I30" s="35" t="s">
        <v>285</v>
      </c>
      <c r="K30" t="s">
        <v>283</v>
      </c>
    </row>
    <row r="31" spans="1:13">
      <c r="A31" s="364"/>
      <c r="B31" s="201" t="s">
        <v>297</v>
      </c>
      <c r="C31" s="206" t="str">
        <f>IFERROR(MIN(MAX(C11+'Step 4a. CAH Quality Measures'!$L$27, 0), 100),"Not Reported")</f>
        <v>Not Reported</v>
      </c>
      <c r="D31" s="206" t="str">
        <f>IFERROR(MIN(MAX(D11+'Step 4a. CAH Quality Measures'!$L$27, 0), 100),"Not Reported")</f>
        <v>Not Reported</v>
      </c>
      <c r="E31" s="206" t="str">
        <f>IFERROR(MIN(MAX(E11+'Step 4a. CAH Quality Measures'!$L$27, 0), 100),"Not Reported")</f>
        <v>Not Reported</v>
      </c>
      <c r="F31" s="206" t="str">
        <f>IFERROR(MIN(MAX(F11+'Step 4a. CAH Quality Measures'!$L$27, 0), 100),"Not Reported")</f>
        <v>Not Reported</v>
      </c>
      <c r="G31" s="206" t="str">
        <f>IFERROR(MIN(MAX(G11+'Step 4a. CAH Quality Measures'!$L$27, 0), 100),"Not Reported")</f>
        <v>Not Reported</v>
      </c>
      <c r="H31" s="205" t="e" cm="1">
        <f t="array" ref="H31">_xlfn.XLOOKUP(1,($C$20='Quality Results'!$C:$C)*(2023='Quality Results'!D:D),'Quality Results'!M:M)</f>
        <v>#N/A</v>
      </c>
      <c r="I31" s="35" t="s">
        <v>285</v>
      </c>
      <c r="K31" t="s">
        <v>283</v>
      </c>
    </row>
    <row r="32" spans="1:13">
      <c r="A32" s="364"/>
      <c r="B32" s="201" t="s">
        <v>298</v>
      </c>
      <c r="C32" s="206" t="str">
        <f>IFERROR(MIN(MAX(C12+'Step 4a. CAH Quality Measures'!$L$28, 0), 100),"Not Reported")</f>
        <v>Not Reported</v>
      </c>
      <c r="D32" s="206" t="str">
        <f>IFERROR(MIN(MAX(D12+'Step 4a. CAH Quality Measures'!$L$28, 0), 100),"Not Reported")</f>
        <v>Not Reported</v>
      </c>
      <c r="E32" s="206" t="str">
        <f>IFERROR(MIN(MAX(E12+'Step 4a. CAH Quality Measures'!$L$28, 0), 100),"Not Reported")</f>
        <v>Not Reported</v>
      </c>
      <c r="F32" s="206" t="str">
        <f>IFERROR(MIN(MAX(F12+'Step 4a. CAH Quality Measures'!$L$28, 0), 100),"Not Reported")</f>
        <v>Not Reported</v>
      </c>
      <c r="G32" s="206" t="str">
        <f>IFERROR(MIN(MAX(G12+'Step 4a. CAH Quality Measures'!$L$28, 0), 100),"Not Reported")</f>
        <v>Not Reported</v>
      </c>
      <c r="H32" s="205" t="e" cm="1">
        <f t="array" ref="H32">_xlfn.XLOOKUP(1,($C$20='Quality Results'!$C:$C)*(2023='Quality Results'!D:D),'Quality Results'!N:N)</f>
        <v>#N/A</v>
      </c>
      <c r="I32" s="35" t="s">
        <v>285</v>
      </c>
      <c r="K32" t="s">
        <v>283</v>
      </c>
    </row>
    <row r="33" spans="1:11">
      <c r="A33" s="364"/>
      <c r="B33" s="201" t="s">
        <v>299</v>
      </c>
      <c r="C33" s="206" t="str">
        <f>IFERROR(MIN(MAX(C13+'Step 4a. CAH Quality Measures'!$L$29, 0), 100),"Not Reported")</f>
        <v>Not Reported</v>
      </c>
      <c r="D33" s="206" t="str">
        <f>IFERROR(MIN(MAX(D13+'Step 4a. CAH Quality Measures'!$L$29, 0), 100),"Not Reported")</f>
        <v>Not Reported</v>
      </c>
      <c r="E33" s="206" t="str">
        <f>IFERROR(MIN(MAX(E13+'Step 4a. CAH Quality Measures'!$L$29, 0), 100),"Not Reported")</f>
        <v>Not Reported</v>
      </c>
      <c r="F33" s="206" t="str">
        <f>IFERROR(MIN(MAX(F13+'Step 4a. CAH Quality Measures'!$L$29, 0), 100),"Not Reported")</f>
        <v>Not Reported</v>
      </c>
      <c r="G33" s="206" t="str">
        <f>IFERROR(MIN(MAX(G13+'Step 4a. CAH Quality Measures'!$L$29, 0), 100),"Not Reported")</f>
        <v>Not Reported</v>
      </c>
      <c r="H33" s="205" t="e" cm="1">
        <f t="array" ref="H33">_xlfn.XLOOKUP(1,($C$20='Quality Results'!$C:$C)*(2023='Quality Results'!D:D),'Quality Results'!O:O)</f>
        <v>#N/A</v>
      </c>
      <c r="I33" s="35" t="s">
        <v>285</v>
      </c>
      <c r="K33" t="s">
        <v>283</v>
      </c>
    </row>
    <row r="34" spans="1:11">
      <c r="A34" s="364"/>
      <c r="B34" s="201" t="s">
        <v>300</v>
      </c>
      <c r="C34" s="206" t="str">
        <f>IFERROR(MIN(MAX(C14+'Step 4a. CAH Quality Measures'!$L$30, 0), 100),"Not Reported")</f>
        <v>Not Reported</v>
      </c>
      <c r="D34" s="206" t="str">
        <f>IFERROR(MIN(MAX(D14+'Step 4a. CAH Quality Measures'!$L$30, 0), 100),"Not Reported")</f>
        <v>Not Reported</v>
      </c>
      <c r="E34" s="206" t="str">
        <f>IFERROR(MIN(MAX(E14+'Step 4a. CAH Quality Measures'!$L$30, 0), 100),"Not Reported")</f>
        <v>Not Reported</v>
      </c>
      <c r="F34" s="206" t="str">
        <f>IFERROR(MIN(MAX(F14+'Step 4a. CAH Quality Measures'!$L$30, 0), 100),"Not Reported")</f>
        <v>Not Reported</v>
      </c>
      <c r="G34" s="206" t="str">
        <f>IFERROR(MIN(MAX(G14+'Step 4a. CAH Quality Measures'!$L$30, 0), 100),"Not Reported")</f>
        <v>Not Reported</v>
      </c>
      <c r="H34" s="205" t="e" cm="1">
        <f t="array" ref="H34">_xlfn.XLOOKUP(1,($C$20='Quality Results'!$C:$C)*(2023='Quality Results'!D:D),'Quality Results'!P:P)</f>
        <v>#N/A</v>
      </c>
      <c r="I34" s="35" t="s">
        <v>285</v>
      </c>
      <c r="K34" t="s">
        <v>283</v>
      </c>
    </row>
    <row r="35" spans="1:11">
      <c r="A35" s="364"/>
      <c r="B35" s="201" t="s">
        <v>301</v>
      </c>
      <c r="C35" s="206" t="str">
        <f>IFERROR(MIN(MAX(C15+'Step 4a. CAH Quality Measures'!$L$31, 0), 100),"Not Reported")</f>
        <v>Not Reported</v>
      </c>
      <c r="D35" s="206" t="str">
        <f>IFERROR(MIN(MAX(D15+'Step 4a. CAH Quality Measures'!$L$31, 0), 100),"Not Reported")</f>
        <v>Not Reported</v>
      </c>
      <c r="E35" s="206" t="str">
        <f>IFERROR(MIN(MAX(E15+'Step 4a. CAH Quality Measures'!$L$31, 0), 100),"Not Reported")</f>
        <v>Not Reported</v>
      </c>
      <c r="F35" s="206" t="str">
        <f>IFERROR(MIN(MAX(F15+'Step 4a. CAH Quality Measures'!$L$31, 0), 100),"Not Reported")</f>
        <v>Not Reported</v>
      </c>
      <c r="G35" s="206" t="str">
        <f>IFERROR(MIN(MAX(G15+'Step 4a. CAH Quality Measures'!$L$31, 0), 100),"Not Reported")</f>
        <v>Not Reported</v>
      </c>
      <c r="H35" s="205" t="e" cm="1">
        <f t="array" ref="H35">_xlfn.XLOOKUP(1,($C$20='Quality Results'!$C:$C)*(2023='Quality Results'!D:D),'Quality Results'!Q:Q)</f>
        <v>#N/A</v>
      </c>
      <c r="I35" s="35" t="s">
        <v>285</v>
      </c>
      <c r="K35" t="s">
        <v>283</v>
      </c>
    </row>
    <row r="36" spans="1:11">
      <c r="A36" s="364"/>
      <c r="B36" s="201" t="s">
        <v>302</v>
      </c>
      <c r="C36" s="206" t="str">
        <f>IFERROR(MIN(MAX(C16+'Step 4a. CAH Quality Measures'!$L$32, 0), 100),"Not Reported")</f>
        <v>Not Reported</v>
      </c>
      <c r="D36" s="206" t="str">
        <f>IFERROR(MIN(MAX(D16+'Step 4a. CAH Quality Measures'!$L$32, 0), 100),"Not Reported")</f>
        <v>Not Reported</v>
      </c>
      <c r="E36" s="206" t="str">
        <f>IFERROR(MIN(MAX(E16+'Step 4a. CAH Quality Measures'!$L$32, 0), 100),"Not Reported")</f>
        <v>Not Reported</v>
      </c>
      <c r="F36" s="206" t="str">
        <f>IFERROR(MIN(MAX(F16+'Step 4a. CAH Quality Measures'!$L$32, 0), 100),"Not Reported")</f>
        <v>Not Reported</v>
      </c>
      <c r="G36" s="206" t="str">
        <f>IFERROR(MIN(MAX(G16+'Step 4a. CAH Quality Measures'!$L$32, 0), 100),"Not Reported")</f>
        <v>Not Reported</v>
      </c>
      <c r="H36" s="205" t="e" cm="1">
        <f t="array" ref="H36">_xlfn.XLOOKUP(1,($C$20='Quality Results'!$C:$C)*(2023='Quality Results'!D:D),'Quality Results'!R:R)</f>
        <v>#N/A</v>
      </c>
      <c r="I36" s="35" t="s">
        <v>285</v>
      </c>
      <c r="K36" t="s">
        <v>283</v>
      </c>
    </row>
    <row r="37" spans="1:11">
      <c r="A37" s="364"/>
      <c r="B37" s="201" t="s">
        <v>303</v>
      </c>
      <c r="C37" s="206" t="str">
        <f>IFERROR(MIN(MAX(C17+'Step 4a. CAH Quality Measures'!$L$33, 0), 100),"Not Reported")</f>
        <v>Not Reported</v>
      </c>
      <c r="D37" s="206" t="str">
        <f>IFERROR(MIN(MAX(D17+'Step 4a. CAH Quality Measures'!$L$33, 0), 100),"Not Reported")</f>
        <v>Not Reported</v>
      </c>
      <c r="E37" s="206" t="str">
        <f>IFERROR(MIN(MAX(E17+'Step 4a. CAH Quality Measures'!$L$33, 0), 100),"Not Reported")</f>
        <v>Not Reported</v>
      </c>
      <c r="F37" s="206" t="str">
        <f>IFERROR(MIN(MAX(F17+'Step 4a. CAH Quality Measures'!$L$33, 0), 100),"Not Reported")</f>
        <v>Not Reported</v>
      </c>
      <c r="G37" s="206" t="str">
        <f>IFERROR(MIN(MAX(G17+'Step 4a. CAH Quality Measures'!$L$33, 0), 100),"Not Reported")</f>
        <v>Not Reported</v>
      </c>
      <c r="H37" s="205" t="e" cm="1">
        <f t="array" ref="H37">_xlfn.XLOOKUP(1,($C$20='Quality Results'!$C:$C)*(2023='Quality Results'!D:D),'Quality Results'!S:S)</f>
        <v>#N/A</v>
      </c>
      <c r="I37" s="35" t="s">
        <v>285</v>
      </c>
      <c r="K37" t="s">
        <v>283</v>
      </c>
    </row>
    <row r="38" spans="1:11">
      <c r="A38" s="364"/>
      <c r="B38" s="201" t="s">
        <v>304</v>
      </c>
      <c r="C38" s="206" t="str">
        <f>IFERROR(MIN(MAX(C18+'Step 4a. CAH Quality Measures'!$L$34, 0), 100),"Not Reported")</f>
        <v>Not Reported</v>
      </c>
      <c r="D38" s="206" t="str">
        <f>IFERROR(MIN(MAX(D18+'Step 4a. CAH Quality Measures'!$L$34, 0), 100),"Not Reported")</f>
        <v>Not Reported</v>
      </c>
      <c r="E38" s="206" t="str">
        <f>IFERROR(MIN(MAX(E18+'Step 4a. CAH Quality Measures'!$L$34, 0), 100),"Not Reported")</f>
        <v>Not Reported</v>
      </c>
      <c r="F38" s="206" t="str">
        <f>IFERROR(MIN(MAX(F18+'Step 4a. CAH Quality Measures'!$L$34, 0), 100),"Not Reported")</f>
        <v>Not Reported</v>
      </c>
      <c r="G38" s="206" t="str">
        <f>IFERROR(MIN(MAX(G18+'Step 4a. CAH Quality Measures'!$L$34, 0), 100),"Not Reported")</f>
        <v>Not Reported</v>
      </c>
      <c r="H38" s="205" t="e" cm="1">
        <f t="array" ref="H38">_xlfn.XLOOKUP(1,($C$20='Quality Results'!$C:$C)*(2023='Quality Results'!D:D),'Quality Results'!T:T)</f>
        <v>#N/A</v>
      </c>
      <c r="I38" s="35" t="s">
        <v>285</v>
      </c>
      <c r="K38" t="s">
        <v>283</v>
      </c>
    </row>
    <row r="43" spans="1:11">
      <c r="E43" s="207"/>
    </row>
    <row r="44" spans="1:11">
      <c r="C44" s="365" t="s">
        <v>340</v>
      </c>
      <c r="D44" s="365"/>
      <c r="E44" s="365"/>
      <c r="F44" s="365"/>
      <c r="G44" s="365"/>
      <c r="H44" s="365"/>
    </row>
    <row r="45" spans="1:11" ht="29">
      <c r="B45" s="35"/>
      <c r="C45" s="36" t="s">
        <v>341</v>
      </c>
      <c r="D45" s="36" t="s">
        <v>342</v>
      </c>
      <c r="E45" s="36" t="s">
        <v>343</v>
      </c>
      <c r="F45" s="36" t="s">
        <v>344</v>
      </c>
      <c r="G45" s="36" t="s">
        <v>345</v>
      </c>
      <c r="H45" s="36" t="s">
        <v>285</v>
      </c>
    </row>
    <row r="46" spans="1:11">
      <c r="B46" s="201" t="s">
        <v>284</v>
      </c>
      <c r="C46" s="35">
        <v>83</v>
      </c>
      <c r="D46" s="35">
        <v>89</v>
      </c>
      <c r="E46" s="35">
        <v>91</v>
      </c>
      <c r="F46" s="35">
        <v>93</v>
      </c>
      <c r="G46" s="35">
        <v>99</v>
      </c>
      <c r="H46" s="35" t="s">
        <v>285</v>
      </c>
      <c r="J46" t="s">
        <v>346</v>
      </c>
    </row>
    <row r="47" spans="1:11">
      <c r="B47" s="35"/>
      <c r="C47" s="366" t="s">
        <v>338</v>
      </c>
      <c r="D47" s="367"/>
      <c r="E47" s="367"/>
      <c r="F47" s="367"/>
      <c r="G47" s="367"/>
      <c r="H47" s="368"/>
    </row>
    <row r="48" spans="1:11">
      <c r="C48" s="35" t="s">
        <v>329</v>
      </c>
      <c r="D48" s="35" t="s">
        <v>330</v>
      </c>
      <c r="E48" s="35" t="s">
        <v>331</v>
      </c>
      <c r="F48" s="35" t="s">
        <v>332</v>
      </c>
      <c r="G48" s="35" t="s">
        <v>333</v>
      </c>
      <c r="H48" s="36" t="s">
        <v>285</v>
      </c>
    </row>
    <row r="49" spans="2:8">
      <c r="B49" t="s">
        <v>347</v>
      </c>
      <c r="C49" s="35">
        <v>-2</v>
      </c>
      <c r="D49" s="35">
        <v>-1</v>
      </c>
      <c r="E49" s="35">
        <v>0</v>
      </c>
      <c r="F49" s="35">
        <v>1</v>
      </c>
      <c r="G49" s="35">
        <v>2</v>
      </c>
      <c r="H49" s="35" t="s">
        <v>285</v>
      </c>
    </row>
    <row r="50" spans="2:8">
      <c r="B50" s="201" t="s">
        <v>284</v>
      </c>
      <c r="C50" s="206" t="e">
        <f>MIN(MAX('Step 4a. CAH Quality Measures'!$L$20+'Dropdowns (2)'!C49,0),100)</f>
        <v>#VALUE!</v>
      </c>
      <c r="D50" s="35" t="e">
        <f>MIN(MAX('Step 4a. CAH Quality Measures'!$L$20+'Dropdowns (2)'!D49,0),100)</f>
        <v>#VALUE!</v>
      </c>
      <c r="E50" s="35" t="e">
        <f>MIN(MAX('Step 4a. CAH Quality Measures'!$L$20+'Dropdowns (2)'!E49,0),100)</f>
        <v>#VALUE!</v>
      </c>
      <c r="F50" s="35" t="e">
        <f>MIN(MAX('Step 4a. CAH Quality Measures'!$L$20+'Dropdowns (2)'!F49,0),100)</f>
        <v>#VALUE!</v>
      </c>
      <c r="G50" s="35" t="e">
        <f>MIN(MAX('Step 4a. CAH Quality Measures'!$L$20+'Dropdowns (2)'!G49,0),100)</f>
        <v>#VALUE!</v>
      </c>
      <c r="H50" s="35"/>
    </row>
    <row r="56" spans="2:8">
      <c r="E56" s="207"/>
    </row>
    <row r="57" spans="2:8">
      <c r="E57" s="207"/>
    </row>
  </sheetData>
  <mergeCells count="3">
    <mergeCell ref="A22:A38"/>
    <mergeCell ref="C44:H44"/>
    <mergeCell ref="C47:H4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D7FB-B250-4A4A-9D52-4343F5518A9C}">
  <dimension ref="A1:C7"/>
  <sheetViews>
    <sheetView workbookViewId="0">
      <selection activeCell="C50" sqref="C50"/>
    </sheetView>
  </sheetViews>
  <sheetFormatPr defaultRowHeight="14.5"/>
  <cols>
    <col min="1" max="1" width="16.7265625" bestFit="1" customWidth="1"/>
    <col min="2" max="2" width="16" bestFit="1" customWidth="1"/>
    <col min="3" max="3" width="19" bestFit="1" customWidth="1"/>
  </cols>
  <sheetData>
    <row r="1" spans="1:3">
      <c r="A1" t="s">
        <v>338</v>
      </c>
      <c r="B1" t="s">
        <v>348</v>
      </c>
      <c r="C1" t="s">
        <v>349</v>
      </c>
    </row>
    <row r="2" spans="1:3">
      <c r="A2" t="s">
        <v>350</v>
      </c>
      <c r="B2" s="82">
        <v>0.02</v>
      </c>
      <c r="C2" s="82">
        <v>0</v>
      </c>
    </row>
    <row r="3" spans="1:3">
      <c r="A3" t="s">
        <v>351</v>
      </c>
      <c r="B3" s="82">
        <v>0.02</v>
      </c>
      <c r="C3" s="82">
        <v>0</v>
      </c>
    </row>
    <row r="4" spans="1:3">
      <c r="A4" t="s">
        <v>352</v>
      </c>
      <c r="B4" s="82">
        <v>1.4999999999999999E-2</v>
      </c>
      <c r="C4" s="82">
        <v>5.0000000000000001E-3</v>
      </c>
    </row>
    <row r="5" spans="1:3">
      <c r="A5" t="s">
        <v>353</v>
      </c>
      <c r="B5" s="82">
        <v>0.01</v>
      </c>
      <c r="C5" s="82">
        <v>0.01</v>
      </c>
    </row>
    <row r="6" spans="1:3">
      <c r="A6" t="s">
        <v>354</v>
      </c>
      <c r="B6" s="82">
        <v>5.0000000000000001E-3</v>
      </c>
      <c r="C6" s="82">
        <v>1.4999999999999999E-2</v>
      </c>
    </row>
    <row r="7" spans="1:3">
      <c r="A7" t="s">
        <v>355</v>
      </c>
      <c r="B7" s="82">
        <v>0</v>
      </c>
      <c r="C7" s="82">
        <v>0.02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B6598-7385-43E3-A230-B3BA4AE72755}">
  <sheetPr>
    <tabColor theme="9" tint="0.59999389629810485"/>
  </sheetPr>
  <dimension ref="A1:Q55"/>
  <sheetViews>
    <sheetView showGridLines="0" topLeftCell="B1" zoomScale="85" zoomScaleNormal="85" workbookViewId="0">
      <selection activeCell="B5" sqref="A5:XFD5"/>
    </sheetView>
  </sheetViews>
  <sheetFormatPr defaultColWidth="0" defaultRowHeight="14.5" zeroHeight="1"/>
  <cols>
    <col min="1" max="1" width="3.7265625" customWidth="1"/>
    <col min="2" max="2" width="4.26953125" customWidth="1"/>
    <col min="3" max="3" width="33" customWidth="1"/>
    <col min="4" max="4" width="18.453125" customWidth="1"/>
    <col min="5" max="5" width="19" customWidth="1"/>
    <col min="6" max="6" width="3.26953125" customWidth="1"/>
    <col min="7" max="7" width="22.1796875" customWidth="1"/>
    <col min="8" max="8" width="0.81640625" customWidth="1"/>
    <col min="9" max="9" width="15.81640625" customWidth="1"/>
    <col min="10" max="10" width="9.1796875" customWidth="1"/>
    <col min="11" max="11" width="2.453125" customWidth="1"/>
    <col min="12" max="12" width="12.81640625" customWidth="1"/>
    <col min="13" max="13" width="9.1796875" customWidth="1"/>
    <col min="14" max="14" width="1.54296875" customWidth="1"/>
    <col min="15" max="15" width="30.54296875" customWidth="1"/>
    <col min="16" max="16" width="28" customWidth="1"/>
    <col min="17" max="17" width="15.1796875" customWidth="1"/>
    <col min="18" max="16384" width="9.1796875" hidden="1"/>
  </cols>
  <sheetData>
    <row r="1" spans="3:16"/>
    <row r="2" spans="3:16" ht="15" thickBot="1"/>
    <row r="3" spans="3:16" ht="63.75" customHeight="1" thickBot="1">
      <c r="C3" s="18" t="s">
        <v>1</v>
      </c>
      <c r="D3" s="19"/>
      <c r="E3" s="19"/>
      <c r="F3" s="19"/>
      <c r="G3" s="19"/>
      <c r="H3" s="19"/>
      <c r="I3" s="19"/>
      <c r="J3" s="19"/>
      <c r="K3" s="19"/>
      <c r="L3" s="19"/>
      <c r="M3" s="19"/>
      <c r="N3" s="19"/>
      <c r="O3" s="19"/>
      <c r="P3" s="20"/>
    </row>
    <row r="4" spans="3:16"/>
    <row r="5" spans="3:16" ht="18" customHeight="1">
      <c r="C5" s="290" t="s">
        <v>417</v>
      </c>
      <c r="D5" s="291"/>
      <c r="E5" s="291"/>
      <c r="F5" s="291"/>
      <c r="G5" s="291"/>
      <c r="H5" s="291"/>
      <c r="I5" s="291"/>
      <c r="J5" s="291"/>
      <c r="K5" s="291"/>
      <c r="L5" s="291"/>
      <c r="M5" s="291"/>
      <c r="N5" s="291"/>
      <c r="O5" s="291"/>
      <c r="P5" s="292"/>
    </row>
    <row r="6" spans="3:16" ht="55" customHeight="1">
      <c r="C6" s="279" t="s">
        <v>416</v>
      </c>
      <c r="D6" s="354"/>
      <c r="E6" s="354"/>
      <c r="F6" s="354"/>
      <c r="G6" s="354"/>
      <c r="H6" s="354"/>
      <c r="I6" s="354"/>
      <c r="J6" s="354"/>
      <c r="K6" s="354"/>
      <c r="L6" s="354"/>
      <c r="M6" s="354"/>
      <c r="N6" s="354"/>
      <c r="O6" s="354"/>
      <c r="P6" s="355"/>
    </row>
    <row r="7" spans="3:16" ht="15" customHeight="1">
      <c r="C7" s="229"/>
      <c r="D7" s="229"/>
      <c r="E7" s="229"/>
      <c r="F7" s="229"/>
      <c r="G7" s="229"/>
      <c r="H7" s="229"/>
      <c r="I7" s="229"/>
      <c r="J7" s="229"/>
      <c r="K7" s="229"/>
      <c r="L7" s="229"/>
      <c r="M7" s="229"/>
      <c r="N7" s="229"/>
      <c r="O7" s="229"/>
      <c r="P7" s="229"/>
    </row>
    <row r="8" spans="3:16">
      <c r="C8" s="224" t="s">
        <v>5</v>
      </c>
      <c r="D8" s="224"/>
      <c r="E8" s="224"/>
      <c r="F8" s="224"/>
      <c r="G8" s="224"/>
      <c r="H8" s="224"/>
      <c r="I8" s="370" t="s">
        <v>32</v>
      </c>
      <c r="J8" s="370"/>
      <c r="K8" s="222"/>
      <c r="L8" s="370" t="s">
        <v>33</v>
      </c>
      <c r="M8" s="370"/>
      <c r="N8" s="222"/>
      <c r="O8" s="351" t="s">
        <v>34</v>
      </c>
      <c r="P8" s="351"/>
    </row>
    <row r="9" spans="3:16"/>
    <row r="10" spans="3:16" ht="14.25" customHeight="1">
      <c r="C10" s="286" t="s">
        <v>356</v>
      </c>
      <c r="D10" s="286"/>
      <c r="E10" s="55"/>
      <c r="F10" s="4"/>
      <c r="I10" s="6">
        <f>'Step 1. Hospital Baseline'!I65</f>
        <v>0</v>
      </c>
      <c r="L10" s="6">
        <f>'Step 1. Hospital Baseline'!K65</f>
        <v>0</v>
      </c>
    </row>
    <row r="11" spans="3:16">
      <c r="C11" s="55"/>
      <c r="D11" s="55"/>
      <c r="E11" s="55"/>
      <c r="F11" s="4"/>
    </row>
    <row r="12" spans="3:16" ht="15.75" customHeight="1">
      <c r="C12" s="296" t="s">
        <v>357</v>
      </c>
      <c r="D12" s="296"/>
      <c r="E12" s="56"/>
    </row>
    <row r="13" spans="3:16" ht="14.5" customHeight="1">
      <c r="C13" s="26" t="s">
        <v>93</v>
      </c>
      <c r="D13" s="56"/>
      <c r="E13" s="56"/>
      <c r="I13" s="129">
        <f>'Step 2. Volume Based Adj.'!I49</f>
        <v>0</v>
      </c>
      <c r="L13" s="129">
        <f>'Step 2. Volume Based Adj.'!K49</f>
        <v>0</v>
      </c>
    </row>
    <row r="14" spans="3:16" ht="5.15" customHeight="1"/>
    <row r="15" spans="3:16">
      <c r="C15" s="17"/>
      <c r="D15" s="17"/>
      <c r="E15" s="17"/>
      <c r="G15" s="26"/>
      <c r="H15" s="26"/>
      <c r="I15" s="26"/>
      <c r="J15" s="26"/>
      <c r="L15" s="26"/>
      <c r="M15" s="26"/>
    </row>
    <row r="16" spans="3:16" ht="14.5" customHeight="1">
      <c r="C16" s="17"/>
      <c r="D16" s="17"/>
      <c r="E16" s="17"/>
      <c r="F16" s="369" t="s">
        <v>358</v>
      </c>
      <c r="G16" s="369"/>
      <c r="H16" s="26"/>
      <c r="I16" s="23">
        <f>I18-I10</f>
        <v>0</v>
      </c>
      <c r="J16" s="158">
        <f>IFERROR(I16/I10,0)</f>
        <v>0</v>
      </c>
      <c r="L16" s="23">
        <f>L18-L10</f>
        <v>0</v>
      </c>
      <c r="M16" s="158">
        <f>IFERROR(L16/L10,0)</f>
        <v>0</v>
      </c>
    </row>
    <row r="17" spans="3:13" ht="5.15" customHeight="1"/>
    <row r="18" spans="3:13" ht="14.5" customHeight="1">
      <c r="C18" s="17"/>
      <c r="D18" s="17"/>
      <c r="E18" s="17"/>
      <c r="G18" s="26" t="s">
        <v>359</v>
      </c>
      <c r="H18" s="26"/>
      <c r="I18" s="25">
        <f>'Step 2. Volume Based Adj.'!I51</f>
        <v>0</v>
      </c>
      <c r="L18" s="6">
        <f>'Step 2. Volume Based Adj.'!K51</f>
        <v>0</v>
      </c>
    </row>
    <row r="19" spans="3:13" ht="15.75" customHeight="1">
      <c r="C19" s="296" t="s">
        <v>360</v>
      </c>
      <c r="D19" s="296"/>
      <c r="E19" s="296"/>
      <c r="G19" s="26"/>
      <c r="H19" s="26"/>
    </row>
    <row r="20" spans="3:13" ht="14.5" customHeight="1">
      <c r="C20" s="190" t="s">
        <v>120</v>
      </c>
      <c r="D20" s="56"/>
      <c r="E20" s="56"/>
      <c r="G20" s="26"/>
      <c r="H20" s="26"/>
      <c r="I20" s="120">
        <f>'Step 3. Reflect FFS'!I57</f>
        <v>0.02</v>
      </c>
      <c r="J20" s="157"/>
      <c r="K20" s="157"/>
      <c r="L20" s="120">
        <f>'Step 3. Reflect FFS'!K57</f>
        <v>0.02</v>
      </c>
      <c r="M20" s="26"/>
    </row>
    <row r="21" spans="3:13" ht="5.15" customHeight="1"/>
    <row r="22" spans="3:13" ht="14.5" customHeight="1">
      <c r="C22" s="26" t="s">
        <v>121</v>
      </c>
      <c r="D22" s="17"/>
      <c r="E22" s="17"/>
      <c r="G22" s="26"/>
      <c r="H22" s="26"/>
      <c r="I22" s="120">
        <f>'Step 3. Reflect FFS'!I59</f>
        <v>0</v>
      </c>
      <c r="J22" s="157"/>
      <c r="K22" s="159"/>
      <c r="L22" s="120">
        <f>'Step 3. Reflect FFS'!K59</f>
        <v>0</v>
      </c>
    </row>
    <row r="23" spans="3:13">
      <c r="C23" s="17"/>
      <c r="D23" s="17"/>
      <c r="E23" s="17"/>
      <c r="G23" s="26"/>
      <c r="H23" s="26"/>
      <c r="I23" s="26"/>
      <c r="J23" s="26"/>
      <c r="L23" s="26"/>
    </row>
    <row r="24" spans="3:13" ht="14.5" customHeight="1">
      <c r="C24" s="17"/>
      <c r="D24" s="17"/>
      <c r="E24" s="17"/>
      <c r="G24" s="369" t="s">
        <v>361</v>
      </c>
      <c r="H24" s="369"/>
      <c r="I24" s="23">
        <f>I26-I18</f>
        <v>0</v>
      </c>
      <c r="J24" s="158">
        <f>IFERROR(I24/I18,0)</f>
        <v>0</v>
      </c>
      <c r="L24" s="23">
        <f>L26-L18</f>
        <v>0</v>
      </c>
      <c r="M24" s="158">
        <f>IFERROR(L24/L18,0)</f>
        <v>0</v>
      </c>
    </row>
    <row r="25" spans="3:13" ht="5.15" customHeight="1"/>
    <row r="26" spans="3:13" ht="14.5" customHeight="1">
      <c r="C26" s="17"/>
      <c r="D26" s="17"/>
      <c r="E26" s="17"/>
      <c r="H26" s="26" t="s">
        <v>359</v>
      </c>
      <c r="I26" s="25">
        <f>'Step 3. Reflect FFS'!I61</f>
        <v>0</v>
      </c>
      <c r="L26" s="6">
        <f>'Step 3. Reflect FFS'!K61</f>
        <v>0</v>
      </c>
    </row>
    <row r="27" spans="3:13">
      <c r="C27" s="16" t="s">
        <v>362</v>
      </c>
    </row>
    <row r="28" spans="3:13" ht="4.5" customHeight="1"/>
    <row r="29" spans="3:13" ht="15" customHeight="1">
      <c r="C29" s="26" t="s">
        <v>363</v>
      </c>
      <c r="I29" s="120">
        <f>'Step 4. AHEAD Specfic Adj'!I19</f>
        <v>0</v>
      </c>
      <c r="L29" s="120">
        <f>'Step 4. AHEAD Specfic Adj'!I19</f>
        <v>0</v>
      </c>
    </row>
    <row r="30" spans="3:13" ht="4.5" customHeight="1"/>
    <row r="31" spans="3:13" ht="15" customHeight="1">
      <c r="C31" s="26" t="s">
        <v>185</v>
      </c>
      <c r="I31" s="120">
        <f>'Step 4. AHEAD Specfic Adj'!I102</f>
        <v>0</v>
      </c>
      <c r="J31" s="26"/>
      <c r="K31" s="26"/>
      <c r="L31" s="120">
        <f>'Step 4. AHEAD Specfic Adj'!K102</f>
        <v>0</v>
      </c>
    </row>
    <row r="32" spans="3:13" ht="4.5" customHeight="1"/>
    <row r="33" spans="3:17" ht="14.5" customHeight="1">
      <c r="C33" s="26" t="s">
        <v>186</v>
      </c>
      <c r="I33" s="120">
        <f>'Step 4. AHEAD Specfic Adj'!I104</f>
        <v>0</v>
      </c>
      <c r="J33" s="157"/>
      <c r="K33" s="157"/>
      <c r="L33" s="120">
        <f>'Step 4. AHEAD Specfic Adj'!K104</f>
        <v>0</v>
      </c>
    </row>
    <row r="34" spans="3:17" ht="4.5" customHeight="1"/>
    <row r="35" spans="3:17" ht="14.5" customHeight="1">
      <c r="C35" s="26" t="s">
        <v>187</v>
      </c>
      <c r="I35" s="120">
        <f>'Step 4. AHEAD Specfic Adj'!I106</f>
        <v>0</v>
      </c>
      <c r="J35" s="157"/>
      <c r="K35" s="157"/>
      <c r="L35" s="120">
        <f>'Step 4. AHEAD Specfic Adj'!K106</f>
        <v>0</v>
      </c>
    </row>
    <row r="36" spans="3:17" ht="5.15" customHeight="1"/>
    <row r="37" spans="3:17" ht="14.5" customHeight="1">
      <c r="C37" s="26" t="s">
        <v>188</v>
      </c>
      <c r="I37" s="120">
        <f>'Step 4. AHEAD Specfic Adj'!I108</f>
        <v>0</v>
      </c>
      <c r="J37" s="157"/>
      <c r="K37" s="157"/>
      <c r="L37" s="120">
        <f>'Step 4. AHEAD Specfic Adj'!K108</f>
        <v>0</v>
      </c>
    </row>
    <row r="38" spans="3:17" ht="5.15" customHeight="1">
      <c r="O38" s="284" t="s">
        <v>364</v>
      </c>
      <c r="P38" s="284"/>
      <c r="Q38" s="284"/>
    </row>
    <row r="39" spans="3:17" ht="14.5" customHeight="1">
      <c r="C39" s="26" t="s">
        <v>189</v>
      </c>
      <c r="H39" s="8"/>
      <c r="I39" s="120">
        <f>'Step 4. AHEAD Specfic Adj'!I110</f>
        <v>0.01</v>
      </c>
      <c r="J39" s="157"/>
      <c r="K39" s="157"/>
      <c r="L39" s="120">
        <f>'Step 4. AHEAD Specfic Adj'!K110</f>
        <v>0.01</v>
      </c>
      <c r="O39" s="284"/>
      <c r="P39" s="284"/>
      <c r="Q39" s="284"/>
    </row>
    <row r="40" spans="3:17" ht="10" customHeight="1">
      <c r="H40" s="8"/>
      <c r="O40" s="284"/>
      <c r="P40" s="284"/>
      <c r="Q40" s="284"/>
    </row>
    <row r="41" spans="3:17" ht="14.5" customHeight="1">
      <c r="G41" s="8" t="s">
        <v>365</v>
      </c>
      <c r="H41" s="8"/>
      <c r="I41" s="59">
        <f>I43-I26</f>
        <v>0</v>
      </c>
      <c r="J41" s="61">
        <f>IFERROR(I41/I26,0)</f>
        <v>0</v>
      </c>
      <c r="L41" s="59">
        <f>L43-L26</f>
        <v>0</v>
      </c>
      <c r="M41" s="61">
        <f>IFERROR(L41/L26,0)</f>
        <v>0</v>
      </c>
      <c r="O41" s="284"/>
      <c r="P41" s="284"/>
      <c r="Q41" s="284"/>
    </row>
    <row r="42" spans="3:17" ht="5.15" customHeight="1">
      <c r="O42" s="284"/>
      <c r="P42" s="284"/>
      <c r="Q42" s="284"/>
    </row>
    <row r="43" spans="3:17" ht="14.5" customHeight="1">
      <c r="G43" s="8" t="s">
        <v>359</v>
      </c>
      <c r="H43" s="8"/>
      <c r="I43" s="59">
        <f>'Step 4. AHEAD Specfic Adj'!I113</f>
        <v>0</v>
      </c>
      <c r="J43" s="4"/>
      <c r="L43" s="59">
        <f>'Step 4. AHEAD Specfic Adj'!K113</f>
        <v>0</v>
      </c>
      <c r="M43" s="4"/>
      <c r="O43" s="284"/>
      <c r="P43" s="284"/>
      <c r="Q43" s="284"/>
    </row>
    <row r="44" spans="3:17" ht="21" customHeight="1">
      <c r="O44" s="284"/>
      <c r="P44" s="284"/>
      <c r="Q44" s="284"/>
    </row>
    <row r="45" spans="3:17" ht="14.5" customHeight="1">
      <c r="C45" s="296" t="s">
        <v>366</v>
      </c>
      <c r="D45" s="296"/>
      <c r="E45" s="296"/>
      <c r="G45" s="26" t="s">
        <v>367</v>
      </c>
      <c r="H45" s="26"/>
      <c r="I45" s="23">
        <f>I47-I43</f>
        <v>0</v>
      </c>
      <c r="J45" s="158">
        <f>IFERROR(I45/I43,0)</f>
        <v>0</v>
      </c>
      <c r="L45" s="23">
        <f>L47-L43</f>
        <v>0</v>
      </c>
      <c r="M45" s="158">
        <f>IFERROR(L45/L43,0)</f>
        <v>0</v>
      </c>
      <c r="O45" s="285" t="s">
        <v>368</v>
      </c>
      <c r="P45" s="285"/>
    </row>
    <row r="46" spans="3:17" ht="5.15" customHeight="1">
      <c r="C46" s="296"/>
      <c r="D46" s="296"/>
      <c r="E46" s="296"/>
      <c r="G46" s="26"/>
      <c r="H46" s="26"/>
      <c r="O46" s="285"/>
      <c r="P46" s="285"/>
    </row>
    <row r="47" spans="3:17" ht="14.5" customHeight="1">
      <c r="C47" s="296"/>
      <c r="D47" s="296"/>
      <c r="E47" s="296"/>
      <c r="G47" s="26"/>
      <c r="H47" s="26"/>
      <c r="I47" s="51">
        <f>I43*0.98</f>
        <v>0</v>
      </c>
      <c r="L47" s="51">
        <f>L43*0.98</f>
        <v>0</v>
      </c>
      <c r="O47" s="285"/>
      <c r="P47" s="285"/>
    </row>
    <row r="48" spans="3:17"/>
    <row r="49" spans="3:16" ht="14.5" customHeight="1">
      <c r="C49" s="38" t="s">
        <v>369</v>
      </c>
      <c r="D49" s="38"/>
      <c r="E49" s="24"/>
      <c r="F49" s="24"/>
      <c r="G49" s="24"/>
      <c r="H49" s="24"/>
      <c r="I49" s="128">
        <f>I47+L47</f>
        <v>0</v>
      </c>
    </row>
    <row r="50" spans="3:16">
      <c r="C50" s="3"/>
      <c r="D50" s="3"/>
      <c r="E50" s="24"/>
      <c r="F50" s="24"/>
      <c r="G50" s="24"/>
      <c r="H50" s="24"/>
      <c r="I50" s="3"/>
      <c r="J50" s="24"/>
      <c r="K50" s="24"/>
      <c r="L50" s="24"/>
      <c r="M50" s="24"/>
      <c r="N50" s="24"/>
      <c r="O50" s="24"/>
      <c r="P50" s="24"/>
    </row>
    <row r="51" spans="3:16" ht="14.5" customHeight="1">
      <c r="C51" s="38" t="s">
        <v>370</v>
      </c>
      <c r="D51" s="3"/>
      <c r="E51" s="24"/>
      <c r="F51" s="24"/>
      <c r="G51" s="24"/>
      <c r="H51" s="24"/>
      <c r="I51" s="128">
        <f>I49/26</f>
        <v>0</v>
      </c>
      <c r="J51" s="24"/>
      <c r="K51" s="24"/>
      <c r="L51" s="24"/>
      <c r="M51" s="24"/>
      <c r="N51" s="24"/>
      <c r="O51" s="24"/>
      <c r="P51" s="24"/>
    </row>
    <row r="52" spans="3:16">
      <c r="C52" s="24"/>
      <c r="D52" s="24"/>
      <c r="E52" s="24"/>
      <c r="F52" s="24"/>
      <c r="G52" s="24"/>
      <c r="H52" s="24"/>
      <c r="I52" s="24"/>
      <c r="J52" s="24"/>
      <c r="K52" s="24"/>
      <c r="L52" s="24"/>
      <c r="M52" s="24"/>
      <c r="N52" s="24"/>
      <c r="O52" s="24"/>
      <c r="P52" s="24"/>
    </row>
    <row r="53" spans="3:16">
      <c r="C53" s="31" t="s">
        <v>0</v>
      </c>
      <c r="D53" s="24"/>
      <c r="E53" s="24"/>
      <c r="F53" s="24"/>
      <c r="G53" s="24"/>
      <c r="H53" s="24"/>
      <c r="I53" s="24"/>
      <c r="J53" s="24"/>
      <c r="K53" s="24"/>
      <c r="L53" s="24"/>
      <c r="M53" s="24"/>
      <c r="N53" s="24"/>
      <c r="O53" s="24"/>
      <c r="P53" s="24"/>
    </row>
    <row r="54" spans="3:16">
      <c r="C54" s="24"/>
      <c r="D54" s="24"/>
      <c r="E54" s="24"/>
      <c r="F54" s="24"/>
      <c r="G54" s="24"/>
      <c r="H54" s="24"/>
      <c r="I54" s="24"/>
      <c r="J54" s="24"/>
      <c r="K54" s="24"/>
      <c r="L54" s="24"/>
      <c r="M54" s="24"/>
      <c r="N54" s="24"/>
      <c r="O54" s="24"/>
      <c r="P54" s="24"/>
    </row>
    <row r="55" spans="3:16" hidden="1">
      <c r="C55" s="24"/>
      <c r="D55" s="24"/>
      <c r="E55" s="24"/>
      <c r="F55" s="24"/>
      <c r="G55" s="24"/>
      <c r="H55" s="24"/>
      <c r="I55" s="124"/>
      <c r="J55" s="24"/>
      <c r="K55" s="24"/>
      <c r="L55" s="24"/>
      <c r="M55" s="24"/>
      <c r="N55" s="24"/>
      <c r="O55" s="24"/>
      <c r="P55" s="24"/>
    </row>
  </sheetData>
  <sheetProtection algorithmName="SHA-512" hashValue="/7oVbB79TuDgwC+VFjPhPLiVmKOmeG+JXFMaTpDeClb4bbbUYqohpbyKhETu+CACvwIW6All6cPf5hLspmKKvA==" saltValue="5UQE3EwSHkIQq+ZoiaQXLA==" spinCount="100000" sheet="1" objects="1" scenarios="1"/>
  <mergeCells count="13">
    <mergeCell ref="C5:P5"/>
    <mergeCell ref="G24:H24"/>
    <mergeCell ref="O45:P47"/>
    <mergeCell ref="C6:P6"/>
    <mergeCell ref="O8:P8"/>
    <mergeCell ref="F16:G16"/>
    <mergeCell ref="I8:J8"/>
    <mergeCell ref="L8:M8"/>
    <mergeCell ref="C19:E19"/>
    <mergeCell ref="C45:E47"/>
    <mergeCell ref="C10:D10"/>
    <mergeCell ref="C12:D12"/>
    <mergeCell ref="O38:Q44"/>
  </mergeCells>
  <conditionalFormatting sqref="I13 L13 I16:J16 L16:M16 I20 L20 I22 L22 I24:J24 L24:M24 I29 L29 I31 L31 I35 L35 I37 L37 I39 L39 I41:J41 L41:M41">
    <cfRule type="cellIs" dxfId="1" priority="2" operator="between">
      <formula>0.000000000001</formula>
      <formula>1000000000000</formula>
    </cfRule>
  </conditionalFormatting>
  <conditionalFormatting sqref="I33 L33">
    <cfRule type="cellIs" dxfId="0" priority="1" operator="between">
      <formula>0.000000000001</formula>
      <formula>1000000000000</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926D7-162A-463B-A5A8-1DC21E7E6254}">
  <sheetPr>
    <tabColor theme="0" tint="-0.14999847407452621"/>
  </sheetPr>
  <dimension ref="A1:W41"/>
  <sheetViews>
    <sheetView showGridLines="0" zoomScale="85" zoomScaleNormal="85" workbookViewId="0">
      <selection activeCell="E7" sqref="E7"/>
    </sheetView>
  </sheetViews>
  <sheetFormatPr defaultColWidth="0" defaultRowHeight="14.5"/>
  <cols>
    <col min="1" max="1" width="4.26953125" customWidth="1"/>
    <col min="2" max="2" width="5.1796875" customWidth="1"/>
    <col min="3" max="11" width="20.7265625" customWidth="1"/>
    <col min="12" max="12" width="20.7265625" style="3" customWidth="1"/>
    <col min="13" max="20" width="20.7265625" customWidth="1"/>
    <col min="21" max="21" width="10" customWidth="1"/>
    <col min="22" max="22" width="20.7265625" customWidth="1"/>
    <col min="23" max="23" width="0" hidden="1" customWidth="1"/>
    <col min="24" max="16384" width="20.7265625" hidden="1"/>
  </cols>
  <sheetData>
    <row r="1" spans="2:23" ht="15" thickBot="1"/>
    <row r="2" spans="2:23" ht="49.5" customHeight="1" thickBot="1">
      <c r="B2" s="374" t="s">
        <v>371</v>
      </c>
      <c r="C2" s="375"/>
      <c r="D2" s="375"/>
      <c r="E2" s="375"/>
      <c r="F2" s="375"/>
      <c r="G2" s="375"/>
      <c r="H2" s="375"/>
      <c r="I2" s="375"/>
      <c r="J2" s="375"/>
      <c r="K2" s="375"/>
      <c r="L2" s="375"/>
      <c r="M2" s="375"/>
      <c r="N2" s="375"/>
      <c r="O2" s="375"/>
      <c r="P2" s="375"/>
      <c r="Q2" s="375"/>
      <c r="R2" s="375"/>
      <c r="S2" s="375"/>
      <c r="T2" s="376"/>
      <c r="U2" s="238"/>
    </row>
    <row r="3" spans="2:23" s="53" customFormat="1">
      <c r="B3"/>
      <c r="C3"/>
      <c r="D3"/>
      <c r="E3" s="30"/>
      <c r="F3"/>
      <c r="G3"/>
      <c r="H3"/>
      <c r="I3"/>
      <c r="J3"/>
      <c r="K3"/>
      <c r="L3"/>
      <c r="M3"/>
      <c r="N3"/>
      <c r="O3"/>
      <c r="P3"/>
      <c r="Q3"/>
      <c r="R3"/>
      <c r="S3"/>
      <c r="T3"/>
      <c r="U3"/>
      <c r="V3"/>
      <c r="W3"/>
    </row>
    <row r="4" spans="2:23" s="53" customFormat="1" ht="18" customHeight="1">
      <c r="B4" s="290" t="s">
        <v>424</v>
      </c>
      <c r="C4" s="291"/>
      <c r="D4" s="291"/>
      <c r="E4" s="291"/>
      <c r="F4" s="291"/>
      <c r="G4" s="291"/>
      <c r="H4" s="291"/>
      <c r="I4" s="291"/>
      <c r="J4" s="291"/>
      <c r="K4" s="291"/>
      <c r="L4" s="291"/>
      <c r="M4" s="291"/>
      <c r="N4" s="291"/>
      <c r="O4" s="291"/>
      <c r="P4" s="291"/>
      <c r="Q4" s="291"/>
      <c r="R4" s="291"/>
      <c r="S4" s="291"/>
      <c r="T4" s="292"/>
      <c r="U4"/>
      <c r="V4"/>
      <c r="W4"/>
    </row>
    <row r="5" spans="2:23" ht="65.150000000000006" customHeight="1">
      <c r="B5" s="371" t="s">
        <v>425</v>
      </c>
      <c r="C5" s="372"/>
      <c r="D5" s="372"/>
      <c r="E5" s="372"/>
      <c r="F5" s="372"/>
      <c r="G5" s="372"/>
      <c r="H5" s="372"/>
      <c r="I5" s="372"/>
      <c r="J5" s="372"/>
      <c r="K5" s="372"/>
      <c r="L5" s="372"/>
      <c r="M5" s="372"/>
      <c r="N5" s="372"/>
      <c r="O5" s="372"/>
      <c r="P5" s="372"/>
      <c r="Q5" s="372"/>
      <c r="R5" s="372"/>
      <c r="S5" s="372"/>
      <c r="T5" s="373"/>
      <c r="U5" s="237"/>
    </row>
    <row r="7" spans="2:23" ht="43.5">
      <c r="B7" s="53"/>
      <c r="C7" s="239" t="s">
        <v>336</v>
      </c>
      <c r="D7" s="239" t="s">
        <v>372</v>
      </c>
      <c r="E7" s="239" t="s">
        <v>373</v>
      </c>
      <c r="F7" s="239" t="s">
        <v>374</v>
      </c>
      <c r="G7" s="239" t="s">
        <v>375</v>
      </c>
      <c r="H7" s="239" t="s">
        <v>376</v>
      </c>
      <c r="I7" s="239" t="s">
        <v>377</v>
      </c>
      <c r="J7" s="239" t="s">
        <v>378</v>
      </c>
      <c r="K7" s="239" t="s">
        <v>379</v>
      </c>
      <c r="L7" s="239" t="s">
        <v>335</v>
      </c>
      <c r="M7" s="239" t="s">
        <v>380</v>
      </c>
      <c r="N7" s="239" t="s">
        <v>381</v>
      </c>
      <c r="O7" s="239" t="s">
        <v>382</v>
      </c>
      <c r="P7" s="239" t="s">
        <v>383</v>
      </c>
      <c r="Q7" s="239" t="s">
        <v>384</v>
      </c>
      <c r="R7" s="239" t="s">
        <v>385</v>
      </c>
      <c r="S7" s="239" t="s">
        <v>386</v>
      </c>
      <c r="T7" s="239" t="s">
        <v>387</v>
      </c>
      <c r="U7" s="53"/>
      <c r="V7" s="53"/>
      <c r="W7" s="53"/>
    </row>
    <row r="8" spans="2:23">
      <c r="C8" s="47">
        <v>121300</v>
      </c>
      <c r="D8" s="47">
        <v>2022</v>
      </c>
      <c r="E8" s="215">
        <v>13.8</v>
      </c>
      <c r="F8" s="216" t="s">
        <v>388</v>
      </c>
      <c r="G8" s="216">
        <v>86</v>
      </c>
      <c r="H8" s="201">
        <v>0</v>
      </c>
      <c r="I8" s="216">
        <v>9</v>
      </c>
      <c r="J8" s="216">
        <v>59</v>
      </c>
      <c r="K8" s="216">
        <v>62</v>
      </c>
      <c r="L8" s="216" t="s">
        <v>285</v>
      </c>
      <c r="M8" s="216">
        <v>77</v>
      </c>
      <c r="N8" s="216">
        <v>79</v>
      </c>
      <c r="O8" s="216">
        <v>65</v>
      </c>
      <c r="P8" s="216">
        <v>54</v>
      </c>
      <c r="Q8" s="216">
        <v>81</v>
      </c>
      <c r="R8" s="216">
        <v>48</v>
      </c>
      <c r="S8" s="216">
        <v>68</v>
      </c>
      <c r="T8" s="216">
        <v>72.5</v>
      </c>
    </row>
    <row r="9" spans="2:23">
      <c r="C9" s="47">
        <v>121301</v>
      </c>
      <c r="D9" s="47">
        <v>2022</v>
      </c>
      <c r="E9" s="215" t="s">
        <v>389</v>
      </c>
      <c r="F9" s="216" t="s">
        <v>388</v>
      </c>
      <c r="G9" s="216">
        <v>92</v>
      </c>
      <c r="H9" s="201" t="s">
        <v>285</v>
      </c>
      <c r="I9" s="216" t="s">
        <v>285</v>
      </c>
      <c r="J9" s="216" t="s">
        <v>285</v>
      </c>
      <c r="K9" s="216" t="s">
        <v>285</v>
      </c>
      <c r="L9" s="216" t="s">
        <v>285</v>
      </c>
      <c r="M9" s="216" t="s">
        <v>285</v>
      </c>
      <c r="N9" s="216" t="s">
        <v>285</v>
      </c>
      <c r="O9" s="216" t="s">
        <v>285</v>
      </c>
      <c r="P9" s="216" t="s">
        <v>285</v>
      </c>
      <c r="Q9" s="216" t="s">
        <v>285</v>
      </c>
      <c r="R9" s="216" t="s">
        <v>285</v>
      </c>
      <c r="S9" s="216" t="s">
        <v>285</v>
      </c>
      <c r="T9" s="216" t="s">
        <v>285</v>
      </c>
    </row>
    <row r="10" spans="2:23">
      <c r="C10" s="47">
        <v>121302</v>
      </c>
      <c r="D10" s="47">
        <v>2022</v>
      </c>
      <c r="E10" s="215" t="s">
        <v>389</v>
      </c>
      <c r="F10" s="216" t="s">
        <v>388</v>
      </c>
      <c r="G10" s="216">
        <v>80</v>
      </c>
      <c r="H10" s="201" t="s">
        <v>285</v>
      </c>
      <c r="I10" s="216" t="s">
        <v>285</v>
      </c>
      <c r="J10" s="216" t="s">
        <v>285</v>
      </c>
      <c r="K10" s="216" t="s">
        <v>389</v>
      </c>
      <c r="L10" s="216" t="s">
        <v>285</v>
      </c>
      <c r="M10" s="216" t="s">
        <v>285</v>
      </c>
      <c r="N10" s="216" t="s">
        <v>285</v>
      </c>
      <c r="O10" s="216" t="s">
        <v>285</v>
      </c>
      <c r="P10" s="216" t="s">
        <v>285</v>
      </c>
      <c r="Q10" s="216" t="s">
        <v>285</v>
      </c>
      <c r="R10" s="216" t="s">
        <v>285</v>
      </c>
      <c r="S10" s="216" t="s">
        <v>285</v>
      </c>
      <c r="T10" s="216" t="s">
        <v>285</v>
      </c>
    </row>
    <row r="11" spans="2:23">
      <c r="C11" s="47">
        <v>121303</v>
      </c>
      <c r="D11" s="47">
        <v>2022</v>
      </c>
      <c r="E11" s="215" t="s">
        <v>389</v>
      </c>
      <c r="F11" s="216" t="s">
        <v>388</v>
      </c>
      <c r="G11" s="216">
        <v>78</v>
      </c>
      <c r="H11" s="201" t="s">
        <v>285</v>
      </c>
      <c r="I11" s="216" t="s">
        <v>389</v>
      </c>
      <c r="J11" s="216" t="s">
        <v>285</v>
      </c>
      <c r="K11" s="216">
        <v>90</v>
      </c>
      <c r="L11" s="216" t="s">
        <v>285</v>
      </c>
      <c r="M11" s="216" t="s">
        <v>389</v>
      </c>
      <c r="N11" s="216" t="s">
        <v>389</v>
      </c>
      <c r="O11" s="216" t="s">
        <v>389</v>
      </c>
      <c r="P11" s="216" t="s">
        <v>389</v>
      </c>
      <c r="Q11" s="216" t="s">
        <v>389</v>
      </c>
      <c r="R11" s="216" t="s">
        <v>389</v>
      </c>
      <c r="S11" s="216" t="s">
        <v>389</v>
      </c>
      <c r="T11" s="216" t="s">
        <v>389</v>
      </c>
    </row>
    <row r="12" spans="2:23">
      <c r="C12" s="47">
        <v>121304</v>
      </c>
      <c r="D12" s="47">
        <v>2022</v>
      </c>
      <c r="E12" s="215" t="s">
        <v>285</v>
      </c>
      <c r="F12" s="216" t="s">
        <v>388</v>
      </c>
      <c r="G12" s="216">
        <v>74</v>
      </c>
      <c r="H12" s="201" t="s">
        <v>285</v>
      </c>
      <c r="I12" s="216" t="s">
        <v>285</v>
      </c>
      <c r="J12" s="216" t="s">
        <v>285</v>
      </c>
      <c r="K12" s="216" t="s">
        <v>285</v>
      </c>
      <c r="L12" s="216" t="s">
        <v>285</v>
      </c>
      <c r="M12" s="216">
        <v>85</v>
      </c>
      <c r="N12" s="216">
        <v>68</v>
      </c>
      <c r="O12" s="216">
        <v>59</v>
      </c>
      <c r="P12" s="216">
        <v>53</v>
      </c>
      <c r="Q12" s="216">
        <v>70</v>
      </c>
      <c r="R12" s="216">
        <v>36</v>
      </c>
      <c r="S12" s="216">
        <v>65</v>
      </c>
      <c r="T12" s="216">
        <v>74</v>
      </c>
    </row>
    <row r="13" spans="2:23">
      <c r="C13" s="47">
        <v>121305</v>
      </c>
      <c r="D13" s="47">
        <v>2022</v>
      </c>
      <c r="E13" s="215" t="s">
        <v>285</v>
      </c>
      <c r="F13" s="216" t="s">
        <v>388</v>
      </c>
      <c r="G13" s="216">
        <v>79</v>
      </c>
      <c r="H13" s="201" t="s">
        <v>285</v>
      </c>
      <c r="I13" s="216" t="s">
        <v>285</v>
      </c>
      <c r="J13" s="216" t="s">
        <v>285</v>
      </c>
      <c r="K13" s="216" t="s">
        <v>285</v>
      </c>
      <c r="L13" s="216" t="s">
        <v>285</v>
      </c>
      <c r="M13" s="216" t="s">
        <v>285</v>
      </c>
      <c r="N13" s="216" t="s">
        <v>285</v>
      </c>
      <c r="O13" s="216" t="s">
        <v>285</v>
      </c>
      <c r="P13" s="216" t="s">
        <v>285</v>
      </c>
      <c r="Q13" s="216" t="s">
        <v>285</v>
      </c>
      <c r="R13" s="216" t="s">
        <v>285</v>
      </c>
      <c r="S13" s="216" t="s">
        <v>285</v>
      </c>
      <c r="T13" s="216" t="s">
        <v>285</v>
      </c>
    </row>
    <row r="14" spans="2:23" s="24" customFormat="1">
      <c r="B14"/>
      <c r="C14" s="47">
        <v>121306</v>
      </c>
      <c r="D14" s="47">
        <v>2022</v>
      </c>
      <c r="E14" s="215" t="s">
        <v>285</v>
      </c>
      <c r="F14" s="216" t="s">
        <v>388</v>
      </c>
      <c r="G14" s="216">
        <v>56</v>
      </c>
      <c r="H14" s="201" t="s">
        <v>285</v>
      </c>
      <c r="I14" s="216" t="s">
        <v>285</v>
      </c>
      <c r="J14" s="216" t="s">
        <v>285</v>
      </c>
      <c r="K14" s="216" t="s">
        <v>285</v>
      </c>
      <c r="L14" s="216" t="s">
        <v>285</v>
      </c>
      <c r="M14" s="216" t="s">
        <v>389</v>
      </c>
      <c r="N14" s="216" t="s">
        <v>389</v>
      </c>
      <c r="O14" s="216" t="s">
        <v>389</v>
      </c>
      <c r="P14" s="216" t="s">
        <v>389</v>
      </c>
      <c r="Q14" s="216" t="s">
        <v>389</v>
      </c>
      <c r="R14" s="216" t="s">
        <v>389</v>
      </c>
      <c r="S14" s="216" t="s">
        <v>389</v>
      </c>
      <c r="T14" s="216" t="s">
        <v>389</v>
      </c>
      <c r="U14"/>
      <c r="V14"/>
      <c r="W14"/>
    </row>
    <row r="15" spans="2:23" s="24" customFormat="1">
      <c r="B15"/>
      <c r="C15" s="47">
        <v>121307</v>
      </c>
      <c r="D15" s="47">
        <v>2022</v>
      </c>
      <c r="E15" s="215" t="s">
        <v>285</v>
      </c>
      <c r="F15" s="216" t="s">
        <v>388</v>
      </c>
      <c r="G15" s="216">
        <v>65</v>
      </c>
      <c r="H15" s="201" t="s">
        <v>285</v>
      </c>
      <c r="I15" s="216" t="s">
        <v>285</v>
      </c>
      <c r="J15" s="216" t="s">
        <v>285</v>
      </c>
      <c r="K15" s="216" t="s">
        <v>285</v>
      </c>
      <c r="L15" s="216" t="s">
        <v>285</v>
      </c>
      <c r="M15" s="216" t="s">
        <v>285</v>
      </c>
      <c r="N15" s="216" t="s">
        <v>285</v>
      </c>
      <c r="O15" s="216" t="s">
        <v>285</v>
      </c>
      <c r="P15" s="216" t="s">
        <v>285</v>
      </c>
      <c r="Q15" s="216" t="s">
        <v>285</v>
      </c>
      <c r="R15" s="216" t="s">
        <v>285</v>
      </c>
      <c r="S15" s="216" t="s">
        <v>285</v>
      </c>
      <c r="T15" s="216" t="s">
        <v>285</v>
      </c>
      <c r="U15"/>
      <c r="V15"/>
      <c r="W15"/>
    </row>
    <row r="16" spans="2:23" s="24" customFormat="1">
      <c r="B16"/>
      <c r="C16" s="47">
        <v>121308</v>
      </c>
      <c r="D16" s="47">
        <v>2022</v>
      </c>
      <c r="E16" s="215" t="s">
        <v>389</v>
      </c>
      <c r="F16" s="216" t="s">
        <v>388</v>
      </c>
      <c r="G16" s="216">
        <v>72</v>
      </c>
      <c r="H16" s="201" t="s">
        <v>285</v>
      </c>
      <c r="I16" s="216" t="s">
        <v>285</v>
      </c>
      <c r="J16" s="216" t="s">
        <v>285</v>
      </c>
      <c r="K16" s="216" t="s">
        <v>285</v>
      </c>
      <c r="L16" s="216" t="s">
        <v>285</v>
      </c>
      <c r="M16" s="216" t="s">
        <v>285</v>
      </c>
      <c r="N16" s="216" t="s">
        <v>285</v>
      </c>
      <c r="O16" s="216" t="s">
        <v>285</v>
      </c>
      <c r="P16" s="216" t="s">
        <v>285</v>
      </c>
      <c r="Q16" s="216" t="s">
        <v>285</v>
      </c>
      <c r="R16" s="216" t="s">
        <v>285</v>
      </c>
      <c r="S16" s="216" t="s">
        <v>285</v>
      </c>
      <c r="T16" s="216" t="s">
        <v>285</v>
      </c>
      <c r="U16"/>
      <c r="V16"/>
      <c r="W16"/>
    </row>
    <row r="17" spans="2:23" s="24" customFormat="1">
      <c r="C17" s="47">
        <v>471300</v>
      </c>
      <c r="D17" s="47">
        <v>2022</v>
      </c>
      <c r="E17" s="215">
        <v>14.4</v>
      </c>
      <c r="F17" s="216" t="s">
        <v>388</v>
      </c>
      <c r="G17" s="216">
        <v>121</v>
      </c>
      <c r="H17" s="201" t="s">
        <v>389</v>
      </c>
      <c r="I17" s="216" t="s">
        <v>389</v>
      </c>
      <c r="J17" s="216" t="s">
        <v>285</v>
      </c>
      <c r="K17" s="216">
        <v>69</v>
      </c>
      <c r="L17" s="216" t="s">
        <v>285</v>
      </c>
      <c r="M17" s="216" t="s">
        <v>389</v>
      </c>
      <c r="N17" s="216" t="s">
        <v>389</v>
      </c>
      <c r="O17" s="216" t="s">
        <v>389</v>
      </c>
      <c r="P17" s="216" t="s">
        <v>389</v>
      </c>
      <c r="Q17" s="216" t="s">
        <v>389</v>
      </c>
      <c r="R17" s="216" t="s">
        <v>389</v>
      </c>
      <c r="S17" s="216" t="s">
        <v>389</v>
      </c>
      <c r="T17" s="216" t="s">
        <v>389</v>
      </c>
    </row>
    <row r="18" spans="2:23" s="24" customFormat="1">
      <c r="C18" s="47">
        <v>471301</v>
      </c>
      <c r="D18" s="47">
        <v>2022</v>
      </c>
      <c r="E18" s="215">
        <v>14.2</v>
      </c>
      <c r="F18" s="216" t="s">
        <v>388</v>
      </c>
      <c r="G18" s="216" t="s">
        <v>285</v>
      </c>
      <c r="H18" s="201">
        <v>1.631</v>
      </c>
      <c r="I18" s="216">
        <v>27</v>
      </c>
      <c r="J18" s="216" t="s">
        <v>285</v>
      </c>
      <c r="K18" s="216">
        <v>54</v>
      </c>
      <c r="L18" s="216" t="s">
        <v>285</v>
      </c>
      <c r="M18" s="216">
        <v>77</v>
      </c>
      <c r="N18" s="216">
        <v>80</v>
      </c>
      <c r="O18" s="216">
        <v>66</v>
      </c>
      <c r="P18" s="216">
        <v>59</v>
      </c>
      <c r="Q18" s="216">
        <v>87</v>
      </c>
      <c r="R18" s="216">
        <v>53</v>
      </c>
      <c r="S18" s="216">
        <v>73</v>
      </c>
      <c r="T18" s="216">
        <v>68.5</v>
      </c>
    </row>
    <row r="19" spans="2:23" s="24" customFormat="1">
      <c r="C19" s="47">
        <v>471302</v>
      </c>
      <c r="D19" s="47">
        <v>2022</v>
      </c>
      <c r="E19" s="215">
        <v>13.8</v>
      </c>
      <c r="F19" s="216" t="s">
        <v>388</v>
      </c>
      <c r="G19" s="216" t="s">
        <v>285</v>
      </c>
      <c r="H19" s="201">
        <v>1.409</v>
      </c>
      <c r="I19" s="216">
        <v>26</v>
      </c>
      <c r="J19" s="216" t="s">
        <v>285</v>
      </c>
      <c r="K19" s="216" t="s">
        <v>285</v>
      </c>
      <c r="L19" s="216" t="s">
        <v>285</v>
      </c>
      <c r="M19" s="216">
        <v>82</v>
      </c>
      <c r="N19" s="216">
        <v>85</v>
      </c>
      <c r="O19" s="216">
        <v>71</v>
      </c>
      <c r="P19" s="216">
        <v>67</v>
      </c>
      <c r="Q19" s="216">
        <v>90</v>
      </c>
      <c r="R19" s="216">
        <v>55</v>
      </c>
      <c r="S19" s="216">
        <v>78</v>
      </c>
      <c r="T19" s="216">
        <v>72</v>
      </c>
    </row>
    <row r="20" spans="2:23" s="24" customFormat="1">
      <c r="C20" s="47">
        <v>471303</v>
      </c>
      <c r="D20" s="47">
        <v>2022</v>
      </c>
      <c r="E20" s="215">
        <v>14</v>
      </c>
      <c r="F20" s="216" t="s">
        <v>388</v>
      </c>
      <c r="G20" s="216" t="s">
        <v>285</v>
      </c>
      <c r="H20" s="201" t="s">
        <v>285</v>
      </c>
      <c r="I20" s="216">
        <v>25</v>
      </c>
      <c r="J20" s="216" t="s">
        <v>285</v>
      </c>
      <c r="K20" s="216">
        <v>86</v>
      </c>
      <c r="L20" s="216" t="s">
        <v>285</v>
      </c>
      <c r="M20" s="216">
        <v>80</v>
      </c>
      <c r="N20" s="216">
        <v>81</v>
      </c>
      <c r="O20" s="216">
        <v>70</v>
      </c>
      <c r="P20" s="216">
        <v>65</v>
      </c>
      <c r="Q20" s="216">
        <v>89</v>
      </c>
      <c r="R20" s="216">
        <v>52</v>
      </c>
      <c r="S20" s="216">
        <v>76</v>
      </c>
      <c r="T20" s="216">
        <v>68.5</v>
      </c>
    </row>
    <row r="21" spans="2:23" s="24" customFormat="1">
      <c r="C21" s="47">
        <v>471304</v>
      </c>
      <c r="D21" s="47">
        <v>2022</v>
      </c>
      <c r="E21" s="215">
        <v>15.5</v>
      </c>
      <c r="F21" s="216" t="s">
        <v>388</v>
      </c>
      <c r="G21" s="216" t="s">
        <v>285</v>
      </c>
      <c r="H21" s="201">
        <v>0.88</v>
      </c>
      <c r="I21" s="216">
        <v>22</v>
      </c>
      <c r="J21" s="216" t="s">
        <v>285</v>
      </c>
      <c r="K21" s="216" t="s">
        <v>285</v>
      </c>
      <c r="L21" s="216" t="s">
        <v>285</v>
      </c>
      <c r="M21" s="216">
        <v>79</v>
      </c>
      <c r="N21" s="216">
        <v>74</v>
      </c>
      <c r="O21" s="216">
        <v>66</v>
      </c>
      <c r="P21" s="216">
        <v>59</v>
      </c>
      <c r="Q21" s="216">
        <v>86</v>
      </c>
      <c r="R21" s="216">
        <v>44</v>
      </c>
      <c r="S21" s="216">
        <v>55</v>
      </c>
      <c r="T21" s="216">
        <v>61</v>
      </c>
    </row>
    <row r="22" spans="2:23" s="24" customFormat="1">
      <c r="C22" s="47">
        <v>471305</v>
      </c>
      <c r="D22" s="47">
        <v>2022</v>
      </c>
      <c r="E22" s="215">
        <v>14.5</v>
      </c>
      <c r="F22" s="216" t="s">
        <v>388</v>
      </c>
      <c r="G22" s="216" t="s">
        <v>285</v>
      </c>
      <c r="H22" s="201">
        <v>0.94299999999999995</v>
      </c>
      <c r="I22" s="216">
        <v>21</v>
      </c>
      <c r="J22" s="216" t="s">
        <v>285</v>
      </c>
      <c r="K22" s="216">
        <v>33</v>
      </c>
      <c r="L22" s="216" t="s">
        <v>285</v>
      </c>
      <c r="M22" s="216">
        <v>84</v>
      </c>
      <c r="N22" s="216">
        <v>83</v>
      </c>
      <c r="O22" s="216">
        <v>72</v>
      </c>
      <c r="P22" s="216">
        <v>70</v>
      </c>
      <c r="Q22" s="216">
        <v>89</v>
      </c>
      <c r="R22" s="216">
        <v>55</v>
      </c>
      <c r="S22" s="216">
        <v>78</v>
      </c>
      <c r="T22" s="216">
        <v>69</v>
      </c>
    </row>
    <row r="23" spans="2:23" s="24" customFormat="1">
      <c r="C23" s="47">
        <v>471306</v>
      </c>
      <c r="D23" s="47">
        <v>2022</v>
      </c>
      <c r="E23" s="215">
        <v>14.2</v>
      </c>
      <c r="F23" s="216" t="s">
        <v>388</v>
      </c>
      <c r="G23" s="216" t="s">
        <v>285</v>
      </c>
      <c r="H23" s="201">
        <v>0.53200000000000003</v>
      </c>
      <c r="I23" s="216">
        <v>14</v>
      </c>
      <c r="J23" s="216" t="s">
        <v>285</v>
      </c>
      <c r="K23" s="216">
        <v>93</v>
      </c>
      <c r="L23" s="216" t="s">
        <v>285</v>
      </c>
      <c r="M23" s="216">
        <v>79</v>
      </c>
      <c r="N23" s="216">
        <v>80</v>
      </c>
      <c r="O23" s="216">
        <v>59</v>
      </c>
      <c r="P23" s="216">
        <v>59</v>
      </c>
      <c r="Q23" s="216">
        <v>78</v>
      </c>
      <c r="R23" s="216">
        <v>45</v>
      </c>
      <c r="S23" s="216">
        <v>63</v>
      </c>
      <c r="T23" s="216">
        <v>65</v>
      </c>
    </row>
    <row r="24" spans="2:23" s="24" customFormat="1">
      <c r="C24" s="47">
        <v>471307</v>
      </c>
      <c r="D24" s="47">
        <v>2022</v>
      </c>
      <c r="E24" s="215">
        <v>14.5</v>
      </c>
      <c r="F24" s="216" t="s">
        <v>388</v>
      </c>
      <c r="G24" s="216">
        <v>160</v>
      </c>
      <c r="H24" s="201">
        <v>1.115</v>
      </c>
      <c r="I24" s="216">
        <v>13</v>
      </c>
      <c r="J24" s="216" t="s">
        <v>285</v>
      </c>
      <c r="K24" s="216" t="s">
        <v>285</v>
      </c>
      <c r="L24" s="216" t="s">
        <v>285</v>
      </c>
      <c r="M24" s="216">
        <v>75</v>
      </c>
      <c r="N24" s="216">
        <v>73</v>
      </c>
      <c r="O24" s="216">
        <v>52</v>
      </c>
      <c r="P24" s="216">
        <v>56</v>
      </c>
      <c r="Q24" s="216">
        <v>85</v>
      </c>
      <c r="R24" s="216">
        <v>46</v>
      </c>
      <c r="S24" s="216">
        <v>58</v>
      </c>
      <c r="T24" s="216">
        <v>51.5</v>
      </c>
    </row>
    <row r="25" spans="2:23" s="24" customFormat="1">
      <c r="C25" s="47">
        <v>121300</v>
      </c>
      <c r="D25" s="47">
        <v>2023</v>
      </c>
      <c r="E25" s="216">
        <v>14.3</v>
      </c>
      <c r="F25" s="216" t="s">
        <v>388</v>
      </c>
      <c r="G25" s="216">
        <v>92</v>
      </c>
      <c r="H25" s="201">
        <v>0</v>
      </c>
      <c r="I25" s="216">
        <v>19</v>
      </c>
      <c r="J25" s="216">
        <v>52</v>
      </c>
      <c r="K25" s="216">
        <v>85</v>
      </c>
      <c r="L25" s="216" t="s">
        <v>285</v>
      </c>
      <c r="M25" s="216">
        <v>77</v>
      </c>
      <c r="N25" s="216">
        <v>78</v>
      </c>
      <c r="O25" s="216">
        <v>62</v>
      </c>
      <c r="P25" s="216">
        <v>63</v>
      </c>
      <c r="Q25" s="216">
        <v>85</v>
      </c>
      <c r="R25" s="216">
        <v>51</v>
      </c>
      <c r="S25" s="216">
        <v>62</v>
      </c>
      <c r="T25" s="216">
        <v>67</v>
      </c>
    </row>
    <row r="26" spans="2:23" s="24" customFormat="1">
      <c r="C26" s="47">
        <v>121301</v>
      </c>
      <c r="D26" s="47">
        <v>2023</v>
      </c>
      <c r="E26" s="216" t="s">
        <v>285</v>
      </c>
      <c r="F26" s="216" t="s">
        <v>388</v>
      </c>
      <c r="G26" s="216">
        <v>79</v>
      </c>
      <c r="H26" s="216" t="s">
        <v>285</v>
      </c>
      <c r="I26" s="216" t="s">
        <v>285</v>
      </c>
      <c r="J26" s="216" t="s">
        <v>389</v>
      </c>
      <c r="K26" s="216" t="s">
        <v>285</v>
      </c>
      <c r="L26" s="216" t="s">
        <v>285</v>
      </c>
      <c r="M26" s="216" t="s">
        <v>285</v>
      </c>
      <c r="N26" s="216" t="s">
        <v>285</v>
      </c>
      <c r="O26" s="216" t="s">
        <v>285</v>
      </c>
      <c r="P26" s="216" t="s">
        <v>285</v>
      </c>
      <c r="Q26" s="216" t="s">
        <v>285</v>
      </c>
      <c r="R26" s="216" t="s">
        <v>285</v>
      </c>
      <c r="S26" s="216" t="s">
        <v>285</v>
      </c>
      <c r="T26" s="216" t="s">
        <v>285</v>
      </c>
    </row>
    <row r="27" spans="2:23" s="24" customFormat="1">
      <c r="C27" s="47">
        <v>121302</v>
      </c>
      <c r="D27" s="47">
        <v>2023</v>
      </c>
      <c r="E27" s="216" t="s">
        <v>389</v>
      </c>
      <c r="F27" s="216" t="s">
        <v>388</v>
      </c>
      <c r="G27" s="216">
        <v>78</v>
      </c>
      <c r="H27" s="216" t="s">
        <v>285</v>
      </c>
      <c r="I27" s="216" t="s">
        <v>285</v>
      </c>
      <c r="J27" s="216" t="s">
        <v>389</v>
      </c>
      <c r="K27" s="216" t="s">
        <v>285</v>
      </c>
      <c r="L27" s="216" t="s">
        <v>285</v>
      </c>
      <c r="M27" s="216" t="s">
        <v>285</v>
      </c>
      <c r="N27" s="216" t="s">
        <v>285</v>
      </c>
      <c r="O27" s="216" t="s">
        <v>285</v>
      </c>
      <c r="P27" s="216" t="s">
        <v>285</v>
      </c>
      <c r="Q27" s="216" t="s">
        <v>285</v>
      </c>
      <c r="R27" s="216" t="s">
        <v>285</v>
      </c>
      <c r="S27" s="216" t="s">
        <v>285</v>
      </c>
      <c r="T27" s="216" t="s">
        <v>285</v>
      </c>
    </row>
    <row r="28" spans="2:23" s="24" customFormat="1">
      <c r="C28" s="47">
        <v>121303</v>
      </c>
      <c r="D28" s="47">
        <v>2023</v>
      </c>
      <c r="E28" s="216" t="s">
        <v>389</v>
      </c>
      <c r="F28" s="216" t="s">
        <v>388</v>
      </c>
      <c r="G28" s="216">
        <v>67</v>
      </c>
      <c r="H28" s="216" t="s">
        <v>285</v>
      </c>
      <c r="I28" s="216">
        <v>21</v>
      </c>
      <c r="J28" s="216" t="s">
        <v>389</v>
      </c>
      <c r="K28" s="216">
        <v>36</v>
      </c>
      <c r="L28" s="216" t="s">
        <v>285</v>
      </c>
      <c r="M28" s="216" t="s">
        <v>389</v>
      </c>
      <c r="N28" s="216" t="s">
        <v>389</v>
      </c>
      <c r="O28" s="216" t="s">
        <v>389</v>
      </c>
      <c r="P28" s="216" t="s">
        <v>389</v>
      </c>
      <c r="Q28" s="216" t="s">
        <v>389</v>
      </c>
      <c r="R28" s="216" t="s">
        <v>389</v>
      </c>
      <c r="S28" s="216" t="s">
        <v>389</v>
      </c>
      <c r="T28" s="216" t="s">
        <v>389</v>
      </c>
    </row>
    <row r="29" spans="2:23" s="24" customFormat="1">
      <c r="C29" s="47">
        <v>121304</v>
      </c>
      <c r="D29" s="47">
        <v>2023</v>
      </c>
      <c r="E29" s="216" t="s">
        <v>285</v>
      </c>
      <c r="F29" s="216" t="s">
        <v>388</v>
      </c>
      <c r="G29" s="216">
        <v>75</v>
      </c>
      <c r="H29" s="216" t="s">
        <v>285</v>
      </c>
      <c r="I29" s="216" t="s">
        <v>389</v>
      </c>
      <c r="J29" s="216" t="s">
        <v>389</v>
      </c>
      <c r="K29" s="216" t="s">
        <v>389</v>
      </c>
      <c r="L29" s="216" t="s">
        <v>285</v>
      </c>
      <c r="M29" s="216">
        <v>71</v>
      </c>
      <c r="N29" s="216">
        <v>71</v>
      </c>
      <c r="O29" s="216">
        <v>68</v>
      </c>
      <c r="P29" s="216">
        <v>75</v>
      </c>
      <c r="Q29" s="216">
        <v>86</v>
      </c>
      <c r="R29" s="216">
        <v>46</v>
      </c>
      <c r="S29" s="216">
        <v>65</v>
      </c>
      <c r="T29" s="216">
        <v>72</v>
      </c>
    </row>
    <row r="30" spans="2:23" s="24" customFormat="1">
      <c r="C30" s="47">
        <v>121305</v>
      </c>
      <c r="D30" s="47">
        <v>2023</v>
      </c>
      <c r="E30" s="216" t="s">
        <v>285</v>
      </c>
      <c r="F30" s="216" t="s">
        <v>388</v>
      </c>
      <c r="G30" s="216">
        <v>80</v>
      </c>
      <c r="H30" s="216" t="s">
        <v>285</v>
      </c>
      <c r="I30" s="216" t="s">
        <v>285</v>
      </c>
      <c r="J30" s="216" t="s">
        <v>389</v>
      </c>
      <c r="K30" s="216" t="s">
        <v>285</v>
      </c>
      <c r="L30" s="216" t="s">
        <v>285</v>
      </c>
      <c r="M30" s="216" t="s">
        <v>285</v>
      </c>
      <c r="N30" s="216" t="s">
        <v>285</v>
      </c>
      <c r="O30" s="216" t="s">
        <v>285</v>
      </c>
      <c r="P30" s="216" t="s">
        <v>285</v>
      </c>
      <c r="Q30" s="216" t="s">
        <v>285</v>
      </c>
      <c r="R30" s="216" t="s">
        <v>285</v>
      </c>
      <c r="S30" s="216" t="s">
        <v>285</v>
      </c>
      <c r="T30" s="216" t="s">
        <v>285</v>
      </c>
    </row>
    <row r="31" spans="2:23">
      <c r="B31" s="24"/>
      <c r="C31" s="47">
        <v>121306</v>
      </c>
      <c r="D31" s="47">
        <v>2023</v>
      </c>
      <c r="E31" s="216" t="s">
        <v>285</v>
      </c>
      <c r="F31" s="216" t="s">
        <v>388</v>
      </c>
      <c r="G31" s="216">
        <v>59</v>
      </c>
      <c r="H31" s="216" t="s">
        <v>285</v>
      </c>
      <c r="I31" s="216" t="s">
        <v>285</v>
      </c>
      <c r="J31" s="216" t="s">
        <v>389</v>
      </c>
      <c r="K31" s="216" t="s">
        <v>285</v>
      </c>
      <c r="L31" s="216" t="s">
        <v>285</v>
      </c>
      <c r="M31" s="216" t="s">
        <v>285</v>
      </c>
      <c r="N31" s="216" t="s">
        <v>285</v>
      </c>
      <c r="O31" s="216" t="s">
        <v>285</v>
      </c>
      <c r="P31" s="216" t="s">
        <v>285</v>
      </c>
      <c r="Q31" s="216" t="s">
        <v>285</v>
      </c>
      <c r="R31" s="216" t="s">
        <v>285</v>
      </c>
      <c r="S31" s="216" t="s">
        <v>285</v>
      </c>
      <c r="T31" s="216" t="s">
        <v>285</v>
      </c>
      <c r="U31" s="24"/>
      <c r="V31" s="24"/>
      <c r="W31" s="24"/>
    </row>
    <row r="32" spans="2:23">
      <c r="B32" s="24"/>
      <c r="C32" s="47">
        <v>121307</v>
      </c>
      <c r="D32" s="47">
        <v>2023</v>
      </c>
      <c r="E32" s="216" t="s">
        <v>285</v>
      </c>
      <c r="F32" s="216" t="s">
        <v>388</v>
      </c>
      <c r="G32" s="216">
        <v>62</v>
      </c>
      <c r="H32" s="216" t="s">
        <v>285</v>
      </c>
      <c r="I32" s="216" t="s">
        <v>285</v>
      </c>
      <c r="J32" s="216" t="s">
        <v>389</v>
      </c>
      <c r="K32" s="216" t="s">
        <v>285</v>
      </c>
      <c r="L32" s="216" t="s">
        <v>285</v>
      </c>
      <c r="M32" s="216" t="s">
        <v>285</v>
      </c>
      <c r="N32" s="216" t="s">
        <v>285</v>
      </c>
      <c r="O32" s="216" t="s">
        <v>285</v>
      </c>
      <c r="P32" s="216" t="s">
        <v>285</v>
      </c>
      <c r="Q32" s="216" t="s">
        <v>285</v>
      </c>
      <c r="R32" s="216" t="s">
        <v>285</v>
      </c>
      <c r="S32" s="216" t="s">
        <v>285</v>
      </c>
      <c r="T32" s="216" t="s">
        <v>285</v>
      </c>
      <c r="U32" s="24"/>
      <c r="V32" s="24"/>
      <c r="W32" s="24"/>
    </row>
    <row r="33" spans="2:23">
      <c r="B33" s="24"/>
      <c r="C33" s="47">
        <v>121308</v>
      </c>
      <c r="D33" s="47">
        <v>2023</v>
      </c>
      <c r="E33" s="216" t="s">
        <v>389</v>
      </c>
      <c r="F33" s="216" t="s">
        <v>388</v>
      </c>
      <c r="G33" s="216">
        <v>61</v>
      </c>
      <c r="H33" s="216" t="s">
        <v>285</v>
      </c>
      <c r="I33" s="216" t="s">
        <v>285</v>
      </c>
      <c r="J33" s="216" t="s">
        <v>389</v>
      </c>
      <c r="K33" s="216" t="s">
        <v>285</v>
      </c>
      <c r="L33" s="216" t="s">
        <v>285</v>
      </c>
      <c r="M33" s="216" t="s">
        <v>285</v>
      </c>
      <c r="N33" s="216" t="s">
        <v>285</v>
      </c>
      <c r="O33" s="216" t="s">
        <v>285</v>
      </c>
      <c r="P33" s="216" t="s">
        <v>285</v>
      </c>
      <c r="Q33" s="216" t="s">
        <v>285</v>
      </c>
      <c r="R33" s="216" t="s">
        <v>285</v>
      </c>
      <c r="S33" s="216" t="s">
        <v>285</v>
      </c>
      <c r="T33" s="216" t="s">
        <v>285</v>
      </c>
      <c r="U33" s="24"/>
      <c r="V33" s="24"/>
      <c r="W33" s="24"/>
    </row>
    <row r="34" spans="2:23">
      <c r="C34" s="47">
        <v>471300</v>
      </c>
      <c r="D34" s="47">
        <v>2023</v>
      </c>
      <c r="E34" s="216">
        <v>15.1</v>
      </c>
      <c r="F34" s="216" t="s">
        <v>388</v>
      </c>
      <c r="G34" s="216">
        <v>115</v>
      </c>
      <c r="H34" s="201" t="s">
        <v>389</v>
      </c>
      <c r="I34" s="216">
        <v>27</v>
      </c>
      <c r="J34" s="216" t="s">
        <v>389</v>
      </c>
      <c r="K34" s="216">
        <v>78</v>
      </c>
      <c r="L34" s="216" t="s">
        <v>285</v>
      </c>
      <c r="M34" s="216" t="s">
        <v>389</v>
      </c>
      <c r="N34" s="216" t="s">
        <v>389</v>
      </c>
      <c r="O34" s="216" t="s">
        <v>389</v>
      </c>
      <c r="P34" s="216" t="s">
        <v>389</v>
      </c>
      <c r="Q34" s="216" t="s">
        <v>389</v>
      </c>
      <c r="R34" s="216" t="s">
        <v>389</v>
      </c>
      <c r="S34" s="216" t="s">
        <v>389</v>
      </c>
      <c r="T34" s="216" t="s">
        <v>389</v>
      </c>
    </row>
    <row r="35" spans="2:23">
      <c r="C35" s="47">
        <v>471301</v>
      </c>
      <c r="D35" s="47">
        <v>2023</v>
      </c>
      <c r="E35" s="216">
        <v>14.7</v>
      </c>
      <c r="F35" s="216" t="s">
        <v>388</v>
      </c>
      <c r="G35" s="216" t="s">
        <v>285</v>
      </c>
      <c r="H35" s="201" t="s">
        <v>389</v>
      </c>
      <c r="I35" s="216">
        <v>13</v>
      </c>
      <c r="J35" s="216" t="s">
        <v>389</v>
      </c>
      <c r="K35" s="216" t="s">
        <v>285</v>
      </c>
      <c r="L35" s="216" t="s">
        <v>285</v>
      </c>
      <c r="M35" s="216">
        <v>82</v>
      </c>
      <c r="N35" s="216">
        <v>86</v>
      </c>
      <c r="O35" s="216">
        <v>69</v>
      </c>
      <c r="P35" s="216">
        <v>63</v>
      </c>
      <c r="Q35" s="216">
        <v>95</v>
      </c>
      <c r="R35" s="216">
        <v>59</v>
      </c>
      <c r="S35" s="216">
        <v>78</v>
      </c>
      <c r="T35" s="216">
        <v>70.5</v>
      </c>
    </row>
    <row r="36" spans="2:23">
      <c r="C36" s="47">
        <v>471302</v>
      </c>
      <c r="D36" s="47">
        <v>2023</v>
      </c>
      <c r="E36" s="216">
        <v>14.8</v>
      </c>
      <c r="F36" s="216" t="s">
        <v>388</v>
      </c>
      <c r="G36" s="216" t="s">
        <v>285</v>
      </c>
      <c r="H36" s="201">
        <v>1.349</v>
      </c>
      <c r="I36" s="216">
        <v>19</v>
      </c>
      <c r="J36" s="216" t="s">
        <v>389</v>
      </c>
      <c r="K36" s="216" t="s">
        <v>285</v>
      </c>
      <c r="L36" s="216" t="s">
        <v>285</v>
      </c>
      <c r="M36" s="216">
        <v>83</v>
      </c>
      <c r="N36" s="216">
        <v>85</v>
      </c>
      <c r="O36" s="216">
        <v>70</v>
      </c>
      <c r="P36" s="216">
        <v>72</v>
      </c>
      <c r="Q36" s="216">
        <v>92</v>
      </c>
      <c r="R36" s="216">
        <v>54</v>
      </c>
      <c r="S36" s="216">
        <v>79</v>
      </c>
      <c r="T36" s="216">
        <v>76</v>
      </c>
    </row>
    <row r="37" spans="2:23">
      <c r="C37" s="47">
        <v>471303</v>
      </c>
      <c r="D37" s="47">
        <v>2023</v>
      </c>
      <c r="E37" s="216">
        <v>14.4</v>
      </c>
      <c r="F37" s="216" t="s">
        <v>388</v>
      </c>
      <c r="G37" s="216" t="s">
        <v>285</v>
      </c>
      <c r="H37" s="201">
        <v>2.0950000000000002</v>
      </c>
      <c r="I37" s="216" t="s">
        <v>285</v>
      </c>
      <c r="J37" s="216" t="s">
        <v>389</v>
      </c>
      <c r="K37" s="216">
        <v>72</v>
      </c>
      <c r="L37" s="216" t="s">
        <v>285</v>
      </c>
      <c r="M37" s="216">
        <v>82</v>
      </c>
      <c r="N37" s="216">
        <v>80</v>
      </c>
      <c r="O37" s="216">
        <v>68</v>
      </c>
      <c r="P37" s="216">
        <v>63</v>
      </c>
      <c r="Q37" s="216">
        <v>88</v>
      </c>
      <c r="R37" s="216">
        <v>53</v>
      </c>
      <c r="S37" s="216">
        <v>68</v>
      </c>
      <c r="T37" s="216">
        <v>70.5</v>
      </c>
    </row>
    <row r="38" spans="2:23">
      <c r="C38" s="47">
        <v>471304</v>
      </c>
      <c r="D38" s="47">
        <v>2023</v>
      </c>
      <c r="E38" s="216">
        <v>14.4</v>
      </c>
      <c r="F38" s="216" t="s">
        <v>388</v>
      </c>
      <c r="G38" s="216" t="s">
        <v>285</v>
      </c>
      <c r="H38" s="201">
        <v>0</v>
      </c>
      <c r="I38" s="216">
        <v>12</v>
      </c>
      <c r="J38" s="216" t="s">
        <v>389</v>
      </c>
      <c r="K38" s="216" t="s">
        <v>285</v>
      </c>
      <c r="L38" s="216" t="s">
        <v>285</v>
      </c>
      <c r="M38" s="216">
        <v>81</v>
      </c>
      <c r="N38" s="216">
        <v>84</v>
      </c>
      <c r="O38" s="216">
        <v>72</v>
      </c>
      <c r="P38" s="216">
        <v>60</v>
      </c>
      <c r="Q38" s="216">
        <v>88</v>
      </c>
      <c r="R38" s="216">
        <v>48</v>
      </c>
      <c r="S38" s="216">
        <v>64</v>
      </c>
      <c r="T38" s="216">
        <v>66</v>
      </c>
    </row>
    <row r="39" spans="2:23">
      <c r="C39" s="47">
        <v>471305</v>
      </c>
      <c r="D39" s="47">
        <v>2023</v>
      </c>
      <c r="E39" s="216">
        <v>15.2</v>
      </c>
      <c r="F39" s="216" t="s">
        <v>388</v>
      </c>
      <c r="G39" s="216" t="s">
        <v>285</v>
      </c>
      <c r="H39" s="201">
        <v>0</v>
      </c>
      <c r="I39" s="216">
        <v>8</v>
      </c>
      <c r="J39" s="216" t="s">
        <v>389</v>
      </c>
      <c r="K39" s="216">
        <v>31</v>
      </c>
      <c r="L39" s="216" t="s">
        <v>285</v>
      </c>
      <c r="M39" s="216">
        <v>87</v>
      </c>
      <c r="N39" s="216">
        <v>82</v>
      </c>
      <c r="O39" s="216">
        <v>76</v>
      </c>
      <c r="P39" s="216">
        <v>64</v>
      </c>
      <c r="Q39" s="216">
        <v>93</v>
      </c>
      <c r="R39" s="216">
        <v>56</v>
      </c>
      <c r="S39" s="216">
        <v>81</v>
      </c>
      <c r="T39" s="216">
        <v>67</v>
      </c>
    </row>
    <row r="40" spans="2:23">
      <c r="C40" s="47">
        <v>471306</v>
      </c>
      <c r="D40" s="47">
        <v>2023</v>
      </c>
      <c r="E40" s="216">
        <v>14.4</v>
      </c>
      <c r="F40" s="216" t="s">
        <v>388</v>
      </c>
      <c r="G40" s="216" t="s">
        <v>285</v>
      </c>
      <c r="H40" s="201">
        <v>0.82599999999999996</v>
      </c>
      <c r="I40" s="216">
        <v>22</v>
      </c>
      <c r="J40" s="216" t="s">
        <v>389</v>
      </c>
      <c r="K40" s="216">
        <v>79</v>
      </c>
      <c r="L40" s="216" t="s">
        <v>285</v>
      </c>
      <c r="M40" s="216">
        <v>85</v>
      </c>
      <c r="N40" s="216">
        <v>77</v>
      </c>
      <c r="O40" s="216">
        <v>73</v>
      </c>
      <c r="P40" s="216">
        <v>60</v>
      </c>
      <c r="Q40" s="216">
        <v>85</v>
      </c>
      <c r="R40" s="216">
        <v>45</v>
      </c>
      <c r="S40" s="216">
        <v>74</v>
      </c>
      <c r="T40" s="216">
        <v>73.5</v>
      </c>
    </row>
    <row r="41" spans="2:23">
      <c r="C41" s="47">
        <v>471307</v>
      </c>
      <c r="D41" s="47">
        <v>2023</v>
      </c>
      <c r="E41" s="216">
        <v>14.7</v>
      </c>
      <c r="F41" s="216" t="s">
        <v>388</v>
      </c>
      <c r="G41" s="216">
        <v>173</v>
      </c>
      <c r="H41" s="201">
        <v>0.65500000000000003</v>
      </c>
      <c r="I41" s="216">
        <v>13</v>
      </c>
      <c r="J41" s="216" t="s">
        <v>389</v>
      </c>
      <c r="K41" s="216" t="s">
        <v>285</v>
      </c>
      <c r="L41" s="216" t="s">
        <v>285</v>
      </c>
      <c r="M41" s="216">
        <v>79</v>
      </c>
      <c r="N41" s="216">
        <v>82</v>
      </c>
      <c r="O41" s="216">
        <v>61</v>
      </c>
      <c r="P41" s="216">
        <v>63</v>
      </c>
      <c r="Q41" s="216">
        <v>88</v>
      </c>
      <c r="R41" s="216">
        <v>53</v>
      </c>
      <c r="S41" s="216">
        <v>63</v>
      </c>
      <c r="T41" s="216">
        <v>49.5</v>
      </c>
    </row>
  </sheetData>
  <sheetProtection algorithmName="SHA-512" hashValue="UaIm7QZwanzMvaw4PBSjdvCesuBGPDTDCMpCit74Naop4ZSAIOh7RB4NVx8iTU2wf16h71cBXKTyWGCd7Qqazg==" saltValue="MvgbNyKJ8slHt5LPF0VOwA==" spinCount="100000" sheet="1" objects="1" scenarios="1"/>
  <mergeCells count="3">
    <mergeCell ref="B5:T5"/>
    <mergeCell ref="B4:T4"/>
    <mergeCell ref="B2:T2"/>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CA2DA-4D8E-4855-806F-BFB8C9596FD3}">
  <sheetPr>
    <tabColor theme="0" tint="-0.14999847407452621"/>
  </sheetPr>
  <dimension ref="A1:F18"/>
  <sheetViews>
    <sheetView showGridLines="0" zoomScale="85" zoomScaleNormal="85" workbookViewId="0">
      <selection activeCell="B2" sqref="B2:E2"/>
    </sheetView>
  </sheetViews>
  <sheetFormatPr defaultColWidth="0" defaultRowHeight="14.5" zeroHeight="1"/>
  <cols>
    <col min="1" max="1" width="5.7265625" customWidth="1"/>
    <col min="2" max="2" width="34.7265625" customWidth="1"/>
    <col min="3" max="3" width="23.81640625" customWidth="1"/>
    <col min="4" max="4" width="16.81640625" customWidth="1"/>
    <col min="5" max="5" width="57.1796875" customWidth="1"/>
    <col min="6" max="6" width="9.1796875" customWidth="1"/>
    <col min="7" max="16384" width="9.1796875" hidden="1"/>
  </cols>
  <sheetData>
    <row r="1" spans="2:5" ht="15" thickBot="1"/>
    <row r="2" spans="2:5" ht="69" customHeight="1" thickBot="1">
      <c r="B2" s="374" t="s">
        <v>1</v>
      </c>
      <c r="C2" s="375"/>
      <c r="D2" s="375"/>
      <c r="E2" s="376"/>
    </row>
    <row r="3" spans="2:5">
      <c r="D3" s="30"/>
    </row>
    <row r="4" spans="2:5" s="4" customFormat="1" ht="18" customHeight="1">
      <c r="B4" s="381" t="s">
        <v>418</v>
      </c>
      <c r="C4" s="381"/>
      <c r="D4" s="381"/>
      <c r="E4" s="381"/>
    </row>
    <row r="5" spans="2:5" ht="25" customHeight="1">
      <c r="B5" s="377" t="s">
        <v>423</v>
      </c>
      <c r="C5" s="336"/>
      <c r="D5" s="336"/>
      <c r="E5" s="336"/>
    </row>
    <row r="6" spans="2:5"/>
    <row r="7" spans="2:5">
      <c r="B7" s="378" t="s">
        <v>390</v>
      </c>
      <c r="C7" s="379"/>
      <c r="D7" s="380"/>
      <c r="E7" s="50" t="s">
        <v>391</v>
      </c>
    </row>
    <row r="8" spans="2:5" ht="15" customHeight="1">
      <c r="B8" s="84" t="s">
        <v>213</v>
      </c>
      <c r="C8" s="85"/>
      <c r="D8" s="86"/>
      <c r="E8" s="52">
        <v>0</v>
      </c>
    </row>
    <row r="9" spans="2:5" ht="15" customHeight="1">
      <c r="B9" s="84" t="s">
        <v>214</v>
      </c>
      <c r="C9" s="85"/>
      <c r="D9" s="86"/>
      <c r="E9" s="52">
        <v>0</v>
      </c>
    </row>
    <row r="10" spans="2:5" ht="15" customHeight="1">
      <c r="B10" s="84" t="s">
        <v>215</v>
      </c>
      <c r="C10" s="85"/>
      <c r="D10" s="86"/>
      <c r="E10" s="52">
        <v>0</v>
      </c>
    </row>
    <row r="11" spans="2:5" ht="15" customHeight="1">
      <c r="B11" s="84" t="s">
        <v>216</v>
      </c>
      <c r="C11" s="85"/>
      <c r="D11" s="86"/>
      <c r="E11" s="52">
        <v>0</v>
      </c>
    </row>
    <row r="12" spans="2:5" ht="15" customHeight="1">
      <c r="B12" s="84" t="s">
        <v>217</v>
      </c>
      <c r="C12" s="85"/>
      <c r="D12" s="86"/>
      <c r="E12" s="52">
        <v>2E-3</v>
      </c>
    </row>
    <row r="13" spans="2:5">
      <c r="B13" s="84" t="s">
        <v>218</v>
      </c>
      <c r="C13" s="85"/>
      <c r="D13" s="86"/>
      <c r="E13" s="52">
        <v>4.0000000000000001E-3</v>
      </c>
    </row>
    <row r="14" spans="2:5">
      <c r="B14" s="84" t="s">
        <v>219</v>
      </c>
      <c r="C14" s="85"/>
      <c r="D14" s="86"/>
      <c r="E14" s="52">
        <v>7.0000000000000001E-3</v>
      </c>
    </row>
    <row r="15" spans="2:5">
      <c r="B15" s="84" t="s">
        <v>220</v>
      </c>
      <c r="C15" s="85"/>
      <c r="D15" s="86"/>
      <c r="E15" s="52">
        <v>1.0999999999999999E-2</v>
      </c>
    </row>
    <row r="16" spans="2:5">
      <c r="B16" s="84" t="s">
        <v>221</v>
      </c>
      <c r="C16" s="85"/>
      <c r="D16" s="86"/>
      <c r="E16" s="52">
        <v>1.6E-2</v>
      </c>
    </row>
    <row r="17" spans="2:5">
      <c r="B17" s="84" t="s">
        <v>222</v>
      </c>
      <c r="C17" s="85"/>
      <c r="D17" s="86"/>
      <c r="E17" s="52">
        <v>0.02</v>
      </c>
    </row>
    <row r="18" spans="2:5"/>
  </sheetData>
  <sheetProtection algorithmName="SHA-512" hashValue="PE+I3zXCt9OmHuCBLt+l97UV8XztYgLNL+3jOVUU33PdVNSFR7Qig7fh5dgtq9P8/tDNJ9VRwv+EGUeVhnRYFw==" saltValue="wjEysWpFY02NcThwRbdsiQ==" spinCount="100000" sheet="1" objects="1" scenarios="1"/>
  <mergeCells count="4">
    <mergeCell ref="B5:E5"/>
    <mergeCell ref="B2:E2"/>
    <mergeCell ref="B7:D7"/>
    <mergeCell ref="B4:E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B9259-D088-4A1D-972E-11E9ECF96B23}">
  <sheetPr>
    <tabColor theme="0" tint="-0.14999847407452621"/>
  </sheetPr>
  <dimension ref="A1:H42"/>
  <sheetViews>
    <sheetView showGridLines="0" zoomScaleNormal="100" workbookViewId="0">
      <selection activeCell="A4" sqref="A4:XFD4"/>
    </sheetView>
  </sheetViews>
  <sheetFormatPr defaultColWidth="0" defaultRowHeight="14.5" zeroHeight="1"/>
  <cols>
    <col min="1" max="1" width="4.26953125" customWidth="1"/>
    <col min="2" max="2" width="24.453125" customWidth="1"/>
    <col min="3" max="3" width="35.453125" customWidth="1"/>
    <col min="4" max="4" width="20.54296875" customWidth="1"/>
    <col min="5" max="5" width="16.54296875" customWidth="1"/>
    <col min="6" max="7" width="19" customWidth="1"/>
    <col min="8" max="8" width="9.1796875" customWidth="1"/>
    <col min="9" max="16384" width="9.1796875" hidden="1"/>
  </cols>
  <sheetData>
    <row r="1" spans="2:7" ht="15" thickBot="1"/>
    <row r="2" spans="2:7" ht="69" customHeight="1" thickBot="1">
      <c r="B2" s="374" t="s">
        <v>1</v>
      </c>
      <c r="C2" s="375"/>
      <c r="D2" s="375"/>
      <c r="E2" s="375"/>
      <c r="F2" s="382"/>
      <c r="G2" s="383"/>
    </row>
    <row r="3" spans="2:7">
      <c r="D3" s="30"/>
    </row>
    <row r="4" spans="2:7" s="4" customFormat="1" ht="18" customHeight="1">
      <c r="B4" s="381" t="s">
        <v>418</v>
      </c>
      <c r="C4" s="381"/>
      <c r="D4" s="381"/>
      <c r="E4" s="381"/>
      <c r="F4" s="381"/>
      <c r="G4" s="381"/>
    </row>
    <row r="5" spans="2:7" ht="64.5" customHeight="1">
      <c r="B5" s="384" t="s">
        <v>420</v>
      </c>
      <c r="C5" s="354"/>
      <c r="D5" s="354"/>
      <c r="E5" s="354"/>
      <c r="F5" s="385"/>
      <c r="G5" s="386"/>
    </row>
    <row r="6" spans="2:7"/>
    <row r="7" spans="2:7">
      <c r="B7" s="351" t="s">
        <v>421</v>
      </c>
      <c r="C7" s="351" t="s">
        <v>422</v>
      </c>
      <c r="D7" s="351" t="s">
        <v>392</v>
      </c>
      <c r="E7" s="387"/>
      <c r="F7" s="387"/>
      <c r="G7" s="387"/>
    </row>
    <row r="8" spans="2:7">
      <c r="B8" s="387"/>
      <c r="C8" s="387"/>
      <c r="D8" s="222" t="s">
        <v>202</v>
      </c>
      <c r="E8" s="222" t="s">
        <v>203</v>
      </c>
      <c r="F8" s="222" t="s">
        <v>204</v>
      </c>
      <c r="G8" s="222" t="s">
        <v>205</v>
      </c>
    </row>
    <row r="9" spans="2:7">
      <c r="B9" s="67" t="s">
        <v>393</v>
      </c>
      <c r="C9" s="68" t="s">
        <v>394</v>
      </c>
      <c r="D9" s="132">
        <v>0</v>
      </c>
      <c r="E9" s="132" t="s">
        <v>395</v>
      </c>
      <c r="F9" s="132" t="s">
        <v>395</v>
      </c>
      <c r="G9" s="132" t="s">
        <v>395</v>
      </c>
    </row>
    <row r="10" spans="2:7">
      <c r="B10" s="67" t="s">
        <v>350</v>
      </c>
      <c r="C10" s="68" t="s">
        <v>396</v>
      </c>
      <c r="D10" s="132">
        <v>0</v>
      </c>
      <c r="E10" s="132">
        <v>-2.5000000000000001E-3</v>
      </c>
      <c r="F10" s="132">
        <v>-3.8E-3</v>
      </c>
      <c r="G10" s="132">
        <v>-5.0000000000000001E-3</v>
      </c>
    </row>
    <row r="11" spans="2:7">
      <c r="B11" s="67" t="s">
        <v>351</v>
      </c>
      <c r="C11" s="68" t="s">
        <v>393</v>
      </c>
      <c r="D11" s="132">
        <v>0</v>
      </c>
      <c r="E11" s="132">
        <v>-3.8E-3</v>
      </c>
      <c r="F11" s="132">
        <v>-5.7000000000000002E-3</v>
      </c>
      <c r="G11" s="132">
        <v>-7.4999999999999997E-3</v>
      </c>
    </row>
    <row r="12" spans="2:7">
      <c r="B12" s="67" t="s">
        <v>352</v>
      </c>
      <c r="C12" s="68" t="s">
        <v>350</v>
      </c>
      <c r="D12" s="132">
        <v>0</v>
      </c>
      <c r="E12" s="132">
        <v>-5.0000000000000001E-3</v>
      </c>
      <c r="F12" s="132">
        <v>-7.6E-3</v>
      </c>
      <c r="G12" s="132">
        <v>-0.01</v>
      </c>
    </row>
    <row r="13" spans="2:7">
      <c r="B13" s="67" t="s">
        <v>353</v>
      </c>
      <c r="C13" s="68" t="s">
        <v>351</v>
      </c>
      <c r="D13" s="132">
        <v>0</v>
      </c>
      <c r="E13" s="132">
        <v>-6.3E-3</v>
      </c>
      <c r="F13" s="132">
        <v>-9.4999999999999998E-3</v>
      </c>
      <c r="G13" s="132">
        <v>-1.2500000000000001E-2</v>
      </c>
    </row>
    <row r="14" spans="2:7">
      <c r="B14" s="67" t="s">
        <v>354</v>
      </c>
      <c r="C14" s="68" t="s">
        <v>352</v>
      </c>
      <c r="D14" s="132">
        <v>0</v>
      </c>
      <c r="E14" s="132">
        <v>-7.4999999999999997E-3</v>
      </c>
      <c r="F14" s="132">
        <v>-1.14E-2</v>
      </c>
      <c r="G14" s="132">
        <v>-1.4999999999999999E-2</v>
      </c>
    </row>
    <row r="15" spans="2:7">
      <c r="B15" s="67" t="s">
        <v>355</v>
      </c>
      <c r="C15" s="68" t="s">
        <v>353</v>
      </c>
      <c r="D15" s="132">
        <v>0</v>
      </c>
      <c r="E15" s="132">
        <v>-0.01</v>
      </c>
      <c r="F15" s="132">
        <v>-1.52E-2</v>
      </c>
      <c r="G15" s="132">
        <v>-0.02</v>
      </c>
    </row>
    <row r="16" spans="2:7">
      <c r="B16" s="67" t="s">
        <v>397</v>
      </c>
      <c r="C16" s="68" t="s">
        <v>354</v>
      </c>
      <c r="D16" s="132">
        <v>0</v>
      </c>
      <c r="E16" s="132">
        <v>-0.01</v>
      </c>
      <c r="F16" s="132">
        <v>-1.52E-2</v>
      </c>
      <c r="G16" s="132">
        <v>-0.02</v>
      </c>
    </row>
    <row r="17"/>
    <row r="18"/>
    <row r="33" customFormat="1" hidden="1"/>
    <row r="34" customFormat="1" hidden="1"/>
    <row r="35" customFormat="1" hidden="1"/>
    <row r="36" customFormat="1" hidden="1"/>
    <row r="37" customFormat="1" hidden="1"/>
    <row r="38" customFormat="1" hidden="1"/>
    <row r="39" customFormat="1" hidden="1"/>
    <row r="40" customFormat="1" hidden="1"/>
    <row r="41" customFormat="1" hidden="1"/>
    <row r="42" customFormat="1" hidden="1"/>
  </sheetData>
  <sheetProtection algorithmName="SHA-512" hashValue="C0pU/Gc/JfHXiSMc2dJ9ei6dBEz6jgib0w6woGRHptOJIKGWayJAc1TobOms3bmR/+binEVCCdIwtKb7w3KB3Q==" saltValue="3e70v9vLvV92MuMLQbJ87A==" spinCount="100000" sheet="1" objects="1" scenarios="1"/>
  <mergeCells count="6">
    <mergeCell ref="B2:G2"/>
    <mergeCell ref="B5:G5"/>
    <mergeCell ref="B4:G4"/>
    <mergeCell ref="B7:B8"/>
    <mergeCell ref="C7:C8"/>
    <mergeCell ref="D7:G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EC5D-1F25-4EFC-84A2-B7EBD41C0CBB}">
  <sheetPr>
    <tabColor theme="0" tint="-0.14999847407452621"/>
  </sheetPr>
  <dimension ref="A1:K44"/>
  <sheetViews>
    <sheetView showGridLines="0" zoomScaleNormal="100" workbookViewId="0">
      <selection activeCell="I11" sqref="I11"/>
    </sheetView>
  </sheetViews>
  <sheetFormatPr defaultColWidth="0" defaultRowHeight="14.5"/>
  <cols>
    <col min="1" max="1" width="2.453125" customWidth="1"/>
    <col min="2" max="2" width="22.26953125" customWidth="1"/>
    <col min="3" max="3" width="13.1796875" customWidth="1"/>
    <col min="4" max="4" width="27.1796875" customWidth="1"/>
    <col min="5" max="5" width="25.81640625" customWidth="1"/>
    <col min="6" max="6" width="11.81640625" customWidth="1"/>
    <col min="7" max="7" width="11.26953125" customWidth="1"/>
    <col min="8" max="8" width="10.54296875" customWidth="1"/>
    <col min="9" max="9" width="10.81640625" customWidth="1"/>
    <col min="10" max="10" width="10.453125" customWidth="1"/>
    <col min="11" max="11" width="9.1796875" customWidth="1"/>
    <col min="12" max="16384" width="9.1796875" hidden="1"/>
  </cols>
  <sheetData>
    <row r="1" spans="2:10" ht="15" thickBot="1"/>
    <row r="2" spans="2:10" ht="69" customHeight="1" thickBot="1">
      <c r="B2" s="374" t="s">
        <v>1</v>
      </c>
      <c r="C2" s="375"/>
      <c r="D2" s="375"/>
      <c r="E2" s="375"/>
      <c r="F2" s="375"/>
      <c r="G2" s="382"/>
      <c r="H2" s="382"/>
      <c r="I2" s="382"/>
      <c r="J2" s="383"/>
    </row>
    <row r="3" spans="2:10">
      <c r="E3" s="30"/>
    </row>
    <row r="4" spans="2:10" s="4" customFormat="1" ht="18" customHeight="1">
      <c r="B4" s="290" t="s">
        <v>418</v>
      </c>
      <c r="C4" s="291"/>
      <c r="D4" s="291"/>
      <c r="E4" s="291"/>
      <c r="F4" s="291"/>
      <c r="G4" s="291"/>
      <c r="H4" s="291"/>
      <c r="I4" s="291"/>
      <c r="J4" s="292"/>
    </row>
    <row r="5" spans="2:10" ht="25" customHeight="1">
      <c r="B5" s="388" t="s">
        <v>419</v>
      </c>
      <c r="C5" s="389"/>
      <c r="D5" s="389"/>
      <c r="E5" s="389"/>
      <c r="F5" s="389"/>
      <c r="G5" s="390"/>
      <c r="H5" s="390"/>
      <c r="I5" s="390"/>
      <c r="J5" s="391"/>
    </row>
    <row r="7" spans="2:10" ht="26.25" customHeight="1">
      <c r="B7" s="351" t="s">
        <v>398</v>
      </c>
      <c r="C7" s="351"/>
      <c r="D7" s="351"/>
      <c r="E7" s="351"/>
      <c r="F7" s="351"/>
      <c r="G7" s="351"/>
      <c r="H7" s="351"/>
      <c r="I7" s="351"/>
      <c r="J7" s="351"/>
    </row>
    <row r="8" spans="2:10">
      <c r="B8" s="112" t="s">
        <v>213</v>
      </c>
      <c r="C8" s="114"/>
      <c r="D8" s="115"/>
      <c r="E8" s="116">
        <v>1</v>
      </c>
      <c r="F8" s="114"/>
      <c r="G8" s="114"/>
      <c r="H8" s="114"/>
      <c r="I8" s="114"/>
      <c r="J8" s="115"/>
    </row>
    <row r="9" spans="2:10">
      <c r="B9" s="84" t="s">
        <v>214</v>
      </c>
      <c r="C9" s="110"/>
      <c r="D9" s="111"/>
      <c r="E9" s="109">
        <v>1</v>
      </c>
      <c r="F9" s="110"/>
      <c r="G9" s="110"/>
      <c r="H9" s="110"/>
      <c r="I9" s="110"/>
      <c r="J9" s="111"/>
    </row>
    <row r="10" spans="2:10">
      <c r="B10" s="84" t="s">
        <v>215</v>
      </c>
      <c r="C10" s="110"/>
      <c r="D10" s="111"/>
      <c r="E10" s="109">
        <v>1</v>
      </c>
      <c r="F10" s="110"/>
      <c r="G10" s="110"/>
      <c r="H10" s="110"/>
      <c r="I10" s="110"/>
      <c r="J10" s="111"/>
    </row>
    <row r="11" spans="2:10">
      <c r="B11" s="84" t="s">
        <v>216</v>
      </c>
      <c r="C11" s="110"/>
      <c r="D11" s="111"/>
      <c r="E11" s="109">
        <v>1.1000000000000001</v>
      </c>
      <c r="F11" s="110"/>
      <c r="G11" s="110"/>
      <c r="H11" s="110"/>
      <c r="I11" s="110"/>
      <c r="J11" s="111"/>
    </row>
    <row r="12" spans="2:10">
      <c r="B12" s="84" t="s">
        <v>217</v>
      </c>
      <c r="C12" s="110"/>
      <c r="D12" s="111"/>
      <c r="E12" s="109">
        <v>1.2</v>
      </c>
      <c r="F12" s="110"/>
      <c r="G12" s="110"/>
      <c r="H12" s="110"/>
      <c r="I12" s="110"/>
      <c r="J12" s="111"/>
    </row>
    <row r="13" spans="2:10">
      <c r="B13" s="84" t="s">
        <v>218</v>
      </c>
      <c r="C13" s="110"/>
      <c r="D13" s="111"/>
      <c r="E13" s="109">
        <v>1.3</v>
      </c>
      <c r="F13" s="110"/>
      <c r="G13" s="110"/>
      <c r="H13" s="110"/>
      <c r="I13" s="110"/>
      <c r="J13" s="111"/>
    </row>
    <row r="14" spans="2:10">
      <c r="B14" s="84" t="s">
        <v>219</v>
      </c>
      <c r="C14" s="110"/>
      <c r="D14" s="111"/>
      <c r="E14" s="109">
        <v>1.4</v>
      </c>
      <c r="F14" s="110"/>
      <c r="G14" s="110"/>
      <c r="H14" s="110"/>
      <c r="I14" s="110"/>
      <c r="J14" s="111"/>
    </row>
    <row r="15" spans="2:10">
      <c r="B15" s="84" t="s">
        <v>220</v>
      </c>
      <c r="C15" s="110"/>
      <c r="D15" s="111"/>
      <c r="E15" s="109">
        <v>1.6</v>
      </c>
      <c r="F15" s="110"/>
      <c r="G15" s="110"/>
      <c r="H15" s="110"/>
      <c r="I15" s="110"/>
      <c r="J15" s="111"/>
    </row>
    <row r="16" spans="2:10">
      <c r="B16" s="84" t="s">
        <v>221</v>
      </c>
      <c r="C16" s="110"/>
      <c r="D16" s="111"/>
      <c r="E16" s="109">
        <v>1.8</v>
      </c>
      <c r="F16" s="110"/>
      <c r="G16" s="110"/>
      <c r="H16" s="110"/>
      <c r="I16" s="110"/>
      <c r="J16" s="111"/>
    </row>
    <row r="17" spans="2:10">
      <c r="B17" s="84" t="s">
        <v>222</v>
      </c>
      <c r="C17" s="110"/>
      <c r="D17" s="111"/>
      <c r="E17" s="109">
        <v>2</v>
      </c>
      <c r="F17" s="110"/>
      <c r="G17" s="110"/>
      <c r="H17" s="110"/>
      <c r="I17" s="110"/>
      <c r="J17" s="111"/>
    </row>
    <row r="19" spans="2:10" ht="17.25" customHeight="1">
      <c r="B19" s="351" t="s">
        <v>399</v>
      </c>
      <c r="C19" s="351"/>
      <c r="D19" s="351"/>
      <c r="E19" s="351"/>
      <c r="F19" s="351"/>
      <c r="G19" s="351"/>
      <c r="H19" s="351"/>
      <c r="I19" s="351"/>
      <c r="J19" s="351"/>
    </row>
    <row r="20" spans="2:10" ht="16.5" customHeight="1">
      <c r="B20" s="117" t="s">
        <v>400</v>
      </c>
      <c r="C20" s="119"/>
      <c r="D20" s="119"/>
      <c r="E20" s="118" t="s">
        <v>401</v>
      </c>
      <c r="F20" s="114"/>
      <c r="G20" s="114"/>
      <c r="H20" s="114"/>
      <c r="I20" s="114"/>
      <c r="J20" s="115"/>
    </row>
    <row r="21" spans="2:10">
      <c r="B21" s="113">
        <v>0</v>
      </c>
      <c r="C21" s="110"/>
      <c r="D21" s="111"/>
      <c r="E21" s="211">
        <v>0</v>
      </c>
      <c r="F21" s="110"/>
      <c r="G21" s="110"/>
      <c r="H21" s="110"/>
      <c r="I21" s="110"/>
      <c r="J21" s="111"/>
    </row>
    <row r="22" spans="2:10">
      <c r="B22" s="113">
        <v>2.0000000000000001E-4</v>
      </c>
      <c r="C22" s="110"/>
      <c r="D22" s="111"/>
      <c r="E22" s="211">
        <v>2.9999999999999997E-4</v>
      </c>
      <c r="F22" s="110"/>
      <c r="G22" s="110"/>
      <c r="H22" s="110"/>
      <c r="I22" s="110"/>
      <c r="J22" s="111"/>
    </row>
    <row r="23" spans="2:10">
      <c r="B23" s="113">
        <v>4.0000000000000002E-4</v>
      </c>
      <c r="C23" s="110"/>
      <c r="D23" s="111"/>
      <c r="E23" s="211">
        <v>5.0000000000000001E-4</v>
      </c>
      <c r="F23" s="110"/>
      <c r="G23" s="110"/>
      <c r="H23" s="110"/>
      <c r="I23" s="110"/>
      <c r="J23" s="111"/>
    </row>
    <row r="24" spans="2:10">
      <c r="B24" s="113">
        <v>5.9999999999999995E-4</v>
      </c>
      <c r="C24" s="110"/>
      <c r="D24" s="111"/>
      <c r="E24" s="211">
        <v>8.0000000000000004E-4</v>
      </c>
      <c r="F24" s="110"/>
      <c r="G24" s="110"/>
      <c r="H24" s="110"/>
      <c r="I24" s="110"/>
      <c r="J24" s="111"/>
    </row>
    <row r="25" spans="2:10">
      <c r="B25" s="113">
        <v>8.0000000000000004E-4</v>
      </c>
      <c r="C25" s="110"/>
      <c r="D25" s="111"/>
      <c r="E25" s="211">
        <v>1E-3</v>
      </c>
      <c r="F25" s="110"/>
      <c r="G25" s="110"/>
      <c r="H25" s="110"/>
      <c r="I25" s="110"/>
      <c r="J25" s="111"/>
    </row>
    <row r="26" spans="2:10">
      <c r="B26" s="113">
        <v>1E-3</v>
      </c>
      <c r="C26" s="110"/>
      <c r="D26" s="111"/>
      <c r="E26" s="211">
        <v>1.2999999999999999E-3</v>
      </c>
      <c r="F26" s="110"/>
      <c r="G26" s="110"/>
      <c r="H26" s="110"/>
      <c r="I26" s="110"/>
      <c r="J26" s="111"/>
    </row>
    <row r="27" spans="2:10">
      <c r="B27" s="113">
        <v>1.1999999999999999E-3</v>
      </c>
      <c r="C27" s="110"/>
      <c r="D27" s="111"/>
      <c r="E27" s="211">
        <v>1.5E-3</v>
      </c>
      <c r="F27" s="110"/>
      <c r="G27" s="110"/>
      <c r="H27" s="110"/>
      <c r="I27" s="110"/>
      <c r="J27" s="111"/>
    </row>
    <row r="28" spans="2:10">
      <c r="B28" s="113">
        <v>1.4E-3</v>
      </c>
      <c r="C28" s="110"/>
      <c r="D28" s="111"/>
      <c r="E28" s="211">
        <v>1.8E-3</v>
      </c>
      <c r="F28" s="110"/>
      <c r="G28" s="110"/>
      <c r="H28" s="110"/>
      <c r="I28" s="110"/>
      <c r="J28" s="111"/>
    </row>
    <row r="29" spans="2:10">
      <c r="B29" s="113">
        <v>1.6000000000000001E-3</v>
      </c>
      <c r="C29" s="110"/>
      <c r="D29" s="111"/>
      <c r="E29" s="211">
        <v>2E-3</v>
      </c>
      <c r="F29" s="110"/>
      <c r="G29" s="110"/>
      <c r="H29" s="110"/>
      <c r="I29" s="110"/>
      <c r="J29" s="111"/>
    </row>
    <row r="30" spans="2:10">
      <c r="B30" s="113">
        <v>1.8E-3</v>
      </c>
      <c r="C30" s="110"/>
      <c r="D30" s="111"/>
      <c r="E30" s="211">
        <v>2.3E-3</v>
      </c>
      <c r="F30" s="110"/>
      <c r="G30" s="110"/>
      <c r="H30" s="110"/>
      <c r="I30" s="110"/>
      <c r="J30" s="111"/>
    </row>
    <row r="31" spans="2:10">
      <c r="B31" s="113">
        <v>2E-3</v>
      </c>
      <c r="C31" s="110"/>
      <c r="D31" s="111"/>
      <c r="E31" s="211">
        <v>2.5000000000000001E-3</v>
      </c>
      <c r="F31" s="110"/>
      <c r="G31" s="110"/>
      <c r="H31" s="110"/>
      <c r="I31" s="110"/>
      <c r="J31" s="111"/>
    </row>
    <row r="33" spans="2:10">
      <c r="B33" s="351" t="s">
        <v>402</v>
      </c>
      <c r="C33" s="351"/>
      <c r="D33" s="351"/>
      <c r="E33" s="351"/>
      <c r="F33" s="351"/>
      <c r="G33" s="351"/>
      <c r="H33" s="351"/>
      <c r="I33" s="351"/>
      <c r="J33" s="351"/>
    </row>
    <row r="34" spans="2:10">
      <c r="B34" s="149">
        <v>0</v>
      </c>
      <c r="C34" s="150"/>
      <c r="D34" s="150"/>
      <c r="E34" s="149">
        <v>0</v>
      </c>
      <c r="F34" s="150"/>
      <c r="G34" s="150"/>
      <c r="H34" s="150"/>
      <c r="I34" s="150"/>
      <c r="J34" s="150"/>
    </row>
    <row r="35" spans="2:10">
      <c r="B35" s="149">
        <v>1E-3</v>
      </c>
      <c r="C35" s="150"/>
      <c r="D35" s="150"/>
      <c r="E35" s="149">
        <v>2.9999999999999997E-4</v>
      </c>
      <c r="F35" s="150"/>
      <c r="G35" s="150"/>
      <c r="H35" s="150"/>
      <c r="I35" s="150"/>
      <c r="J35" s="150"/>
    </row>
    <row r="36" spans="2:10">
      <c r="B36" s="149">
        <v>2E-3</v>
      </c>
      <c r="C36" s="150"/>
      <c r="D36" s="150"/>
      <c r="E36" s="149">
        <v>5.0000000000000001E-4</v>
      </c>
      <c r="F36" s="150"/>
      <c r="G36" s="150"/>
      <c r="H36" s="150"/>
      <c r="I36" s="150"/>
      <c r="J36" s="150"/>
    </row>
    <row r="37" spans="2:10">
      <c r="B37" s="149">
        <v>3.0000000000000001E-3</v>
      </c>
      <c r="C37" s="150"/>
      <c r="D37" s="150"/>
      <c r="E37" s="149">
        <v>8.0000000000000004E-4</v>
      </c>
      <c r="F37" s="150"/>
      <c r="G37" s="150"/>
      <c r="H37" s="150"/>
      <c r="I37" s="150"/>
      <c r="J37" s="150"/>
    </row>
    <row r="38" spans="2:10">
      <c r="B38" s="149">
        <v>4.0000000000000001E-3</v>
      </c>
      <c r="C38" s="150"/>
      <c r="D38" s="150"/>
      <c r="E38" s="149">
        <v>1E-3</v>
      </c>
      <c r="F38" s="150"/>
      <c r="G38" s="150"/>
      <c r="H38" s="150"/>
      <c r="I38" s="150"/>
      <c r="J38" s="150"/>
    </row>
    <row r="39" spans="2:10">
      <c r="B39" s="149">
        <v>5.0000000000000001E-3</v>
      </c>
      <c r="C39" s="150"/>
      <c r="D39" s="150"/>
      <c r="E39" s="149">
        <v>1.2999999999999999E-3</v>
      </c>
      <c r="F39" s="150"/>
      <c r="G39" s="150"/>
      <c r="H39" s="150"/>
      <c r="I39" s="150"/>
      <c r="J39" s="150"/>
    </row>
    <row r="40" spans="2:10">
      <c r="B40" s="149">
        <v>6.0000000000000001E-3</v>
      </c>
      <c r="C40" s="150"/>
      <c r="D40" s="150"/>
      <c r="E40" s="149">
        <v>1.5E-3</v>
      </c>
      <c r="F40" s="150"/>
      <c r="G40" s="150"/>
      <c r="H40" s="150"/>
      <c r="I40" s="150"/>
      <c r="J40" s="150"/>
    </row>
    <row r="41" spans="2:10">
      <c r="B41" s="149">
        <v>7.0000000000000001E-3</v>
      </c>
      <c r="C41" s="150"/>
      <c r="D41" s="150"/>
      <c r="E41" s="149">
        <v>1.8E-3</v>
      </c>
      <c r="F41" s="150"/>
      <c r="G41" s="150"/>
      <c r="H41" s="150"/>
      <c r="I41" s="150"/>
      <c r="J41" s="150"/>
    </row>
    <row r="42" spans="2:10">
      <c r="B42" s="149">
        <v>8.0000000000000002E-3</v>
      </c>
      <c r="C42" s="150"/>
      <c r="D42" s="150"/>
      <c r="E42" s="149">
        <v>2E-3</v>
      </c>
      <c r="F42" s="150"/>
      <c r="G42" s="150"/>
      <c r="H42" s="150"/>
      <c r="I42" s="150"/>
      <c r="J42" s="150"/>
    </row>
    <row r="43" spans="2:10">
      <c r="B43" s="149">
        <v>8.9999999999999993E-3</v>
      </c>
      <c r="C43" s="150"/>
      <c r="D43" s="150"/>
      <c r="E43" s="149">
        <v>2.3E-3</v>
      </c>
      <c r="F43" s="150"/>
      <c r="G43" s="150"/>
      <c r="H43" s="150"/>
      <c r="I43" s="150"/>
      <c r="J43" s="150"/>
    </row>
    <row r="44" spans="2:10">
      <c r="B44" s="149">
        <v>0.01</v>
      </c>
      <c r="C44" s="150"/>
      <c r="D44" s="150"/>
      <c r="E44" s="149">
        <v>2.5000000000000001E-3</v>
      </c>
      <c r="F44" s="150"/>
      <c r="G44" s="150"/>
      <c r="H44" s="150"/>
      <c r="I44" s="150"/>
      <c r="J44" s="150"/>
    </row>
  </sheetData>
  <sheetProtection algorithmName="SHA-512" hashValue="oi7UlkaZSvHRX29UqGoAgKK/W8DvRJE2tnL/g6fR9h6ojE556iDo5S551uYxiEXckiYhc0D6+olBpv03AAIW7g==" saltValue="/pSvGWmhoV6TNr/tDUxEhQ==" spinCount="100000" sheet="1" objects="1" scenarios="1"/>
  <mergeCells count="6">
    <mergeCell ref="B19:J19"/>
    <mergeCell ref="B2:J2"/>
    <mergeCell ref="B5:J5"/>
    <mergeCell ref="B7:J7"/>
    <mergeCell ref="B33:J33"/>
    <mergeCell ref="B4:J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B64A7-DA62-495C-A76F-B74F22A57865}">
  <sheetPr>
    <tabColor theme="0"/>
  </sheetPr>
  <dimension ref="A1:H22"/>
  <sheetViews>
    <sheetView showGridLines="0" topLeftCell="A13" zoomScaleNormal="100" workbookViewId="0">
      <selection activeCell="B5" sqref="B5:F5"/>
    </sheetView>
  </sheetViews>
  <sheetFormatPr defaultColWidth="0" defaultRowHeight="14.5" zeroHeight="1"/>
  <cols>
    <col min="1" max="1" width="2.453125" customWidth="1"/>
    <col min="2" max="2" width="26.81640625" customWidth="1"/>
    <col min="3" max="3" width="13.26953125" customWidth="1"/>
    <col min="4" max="4" width="15" customWidth="1"/>
    <col min="5" max="5" width="20.54296875" customWidth="1"/>
    <col min="6" max="6" width="73.54296875" customWidth="1"/>
    <col min="7" max="7" width="3.453125" customWidth="1"/>
    <col min="8" max="8" width="0" hidden="1" customWidth="1"/>
    <col min="9" max="16384" width="9.1796875" hidden="1"/>
  </cols>
  <sheetData>
    <row r="1" spans="2:6" ht="15" thickBot="1"/>
    <row r="2" spans="2:6" ht="63" customHeight="1" thickBot="1">
      <c r="B2" s="18" t="s">
        <v>1</v>
      </c>
      <c r="C2" s="19"/>
      <c r="D2" s="19"/>
      <c r="E2" s="19"/>
      <c r="F2" s="20"/>
    </row>
    <row r="3" spans="2:6" ht="15" thickBot="1"/>
    <row r="4" spans="2:6" ht="21" customHeight="1" thickBot="1">
      <c r="B4" s="255" t="s">
        <v>2</v>
      </c>
      <c r="C4" s="256"/>
      <c r="D4" s="256"/>
      <c r="E4" s="256"/>
      <c r="F4" s="257"/>
    </row>
    <row r="5" spans="2:6" ht="338.25" customHeight="1" thickBot="1">
      <c r="B5" s="258" t="s">
        <v>3</v>
      </c>
      <c r="C5" s="259"/>
      <c r="D5" s="259"/>
      <c r="E5" s="259"/>
      <c r="F5" s="260"/>
    </row>
    <row r="6" spans="2:6" ht="15" thickBot="1"/>
    <row r="7" spans="2:6">
      <c r="B7" s="223" t="s">
        <v>4</v>
      </c>
      <c r="C7" s="263" t="s">
        <v>5</v>
      </c>
      <c r="D7" s="263"/>
      <c r="E7" s="263"/>
      <c r="F7" s="264"/>
    </row>
    <row r="8" spans="2:6" ht="66" customHeight="1">
      <c r="B8" s="45" t="s">
        <v>6</v>
      </c>
      <c r="C8" s="261" t="s">
        <v>7</v>
      </c>
      <c r="D8" s="261"/>
      <c r="E8" s="261"/>
      <c r="F8" s="262"/>
    </row>
    <row r="9" spans="2:6" ht="98.25" customHeight="1">
      <c r="B9" s="130" t="s">
        <v>8</v>
      </c>
      <c r="C9" s="253" t="s">
        <v>9</v>
      </c>
      <c r="D9" s="253"/>
      <c r="E9" s="253"/>
      <c r="F9" s="254"/>
    </row>
    <row r="10" spans="2:6" ht="96" customHeight="1">
      <c r="B10" s="131" t="s">
        <v>10</v>
      </c>
      <c r="C10" s="253" t="s">
        <v>11</v>
      </c>
      <c r="D10" s="253"/>
      <c r="E10" s="253"/>
      <c r="F10" s="254"/>
    </row>
    <row r="11" spans="2:6" ht="215.25" customHeight="1">
      <c r="B11" s="163" t="s">
        <v>12</v>
      </c>
      <c r="C11" s="252" t="s">
        <v>13</v>
      </c>
      <c r="D11" s="253"/>
      <c r="E11" s="253"/>
      <c r="F11" s="254"/>
    </row>
    <row r="12" spans="2:6" ht="80.5" customHeight="1">
      <c r="B12" s="209" t="s">
        <v>14</v>
      </c>
      <c r="C12" s="252" t="s">
        <v>15</v>
      </c>
      <c r="D12" s="271"/>
      <c r="E12" s="271"/>
      <c r="F12" s="272"/>
    </row>
    <row r="13" spans="2:6" ht="66" customHeight="1">
      <c r="B13" s="46" t="s">
        <v>16</v>
      </c>
      <c r="C13" s="268" t="s">
        <v>17</v>
      </c>
      <c r="D13" s="253"/>
      <c r="E13" s="253"/>
      <c r="F13" s="254"/>
    </row>
    <row r="14" spans="2:6" ht="66" customHeight="1">
      <c r="B14" s="218" t="s">
        <v>18</v>
      </c>
      <c r="C14" s="268" t="s">
        <v>19</v>
      </c>
      <c r="D14" s="253"/>
      <c r="E14" s="253"/>
      <c r="F14" s="254"/>
    </row>
    <row r="15" spans="2:6" ht="66" customHeight="1">
      <c r="B15" s="106" t="s">
        <v>20</v>
      </c>
      <c r="C15" s="265" t="s">
        <v>21</v>
      </c>
      <c r="D15" s="266"/>
      <c r="E15" s="266"/>
      <c r="F15" s="267"/>
    </row>
    <row r="16" spans="2:6" ht="66" customHeight="1">
      <c r="B16" s="107" t="s">
        <v>22</v>
      </c>
      <c r="C16" s="268" t="s">
        <v>23</v>
      </c>
      <c r="D16" s="253"/>
      <c r="E16" s="253"/>
      <c r="F16" s="254"/>
    </row>
    <row r="17" spans="2:6" ht="66" customHeight="1" thickBot="1">
      <c r="B17" s="108" t="s">
        <v>24</v>
      </c>
      <c r="C17" s="269" t="s">
        <v>25</v>
      </c>
      <c r="D17" s="269"/>
      <c r="E17" s="269"/>
      <c r="F17" s="270"/>
    </row>
    <row r="18" spans="2:6"/>
    <row r="19" spans="2:6" ht="38.25" customHeight="1">
      <c r="B19" s="251" t="s">
        <v>0</v>
      </c>
      <c r="C19" s="251"/>
      <c r="D19" s="251"/>
      <c r="E19" s="251"/>
      <c r="F19" s="251"/>
    </row>
    <row r="20" spans="2:6"/>
    <row r="21" spans="2:6"/>
    <row r="22" spans="2:6"/>
  </sheetData>
  <sheetProtection algorithmName="SHA-512" hashValue="9o4QReCnmnhi1Xc5TtPzHN6uDV8Zv1XDA01g5aqZZPtVy02Oiul6rhXR0YgZYs5MiwyitEeXZDNHrSTFDk3pgw==" saltValue="r53Je85ZWOMHTIClJZbC6Q==" spinCount="100000" sheet="1" objects="1" scenarios="1"/>
  <mergeCells count="14">
    <mergeCell ref="B19:F19"/>
    <mergeCell ref="C11:F11"/>
    <mergeCell ref="C9:F9"/>
    <mergeCell ref="B4:F4"/>
    <mergeCell ref="B5:F5"/>
    <mergeCell ref="C8:F8"/>
    <mergeCell ref="C10:F10"/>
    <mergeCell ref="C7:F7"/>
    <mergeCell ref="C15:F15"/>
    <mergeCell ref="C16:F16"/>
    <mergeCell ref="C17:F17"/>
    <mergeCell ref="C13:F13"/>
    <mergeCell ref="C12:F12"/>
    <mergeCell ref="C14:F14"/>
  </mergeCells>
  <hyperlinks>
    <hyperlink ref="B8" location="'Step 1. Hospital Baseline'!A1" display="Step 1. Hospital Baseline" xr:uid="{614F911D-9DF5-4DF8-93A2-05E0C64E4945}"/>
    <hyperlink ref="B11" location="'Step 4. AHEAD Specfic Adj'!A1" display="'Step 4. AHEAD Specfic Adj'!A1" xr:uid="{297A09D1-5EA6-4D68-97F8-69FE18BE56FA}"/>
    <hyperlink ref="B13" location="'Step 5. Final HGB'!A1" display="Step 5. Final HGB" xr:uid="{1B60D5B0-C055-4790-994E-4D2B2641CBB9}"/>
    <hyperlink ref="B15" location="'SRA Look up Table'!A1" display="Appendix - SRA Look Up Table" xr:uid="{C75ADAE8-2049-4318-A1B2-0246477DA9F4}"/>
    <hyperlink ref="B9" location="'Step 2. Volume Based Adj.'!A1" display="Step 2. Volume Based Adjustments" xr:uid="{E30CEC6E-9465-48A3-A183-B51B2A74FD78}"/>
    <hyperlink ref="B17" location="'CIB Look Up Table'!A1" display="Appendix - CIB Look Up Table" xr:uid="{452C9894-10C1-42C3-BBCC-BD3A5B9D653B}"/>
    <hyperlink ref="B16" location="'EA Look Up table'!A1" display="Appendix - EA Look Up Table" xr:uid="{B8DFC941-C122-4649-AD12-55136586C1E4}"/>
    <hyperlink ref="B12" location="'Step 4a. CAH Qualiy Measures'!A1" display="Step 4a. CAH Quality Measures" xr:uid="{A2241D60-2A2E-47C0-907C-4F19F661954C}"/>
    <hyperlink ref="B10" location="'Step 3. Reflect FFS'!A1" display="Step 3. Reflect FFS" xr:uid="{CB618ED7-A5D5-4B0A-9343-CB72107BCA0C}"/>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38B92-0984-4A38-ADD8-DDD7BBF8CE5F}">
  <sheetPr>
    <tabColor theme="5" tint="0.39997558519241921"/>
  </sheetPr>
  <dimension ref="A1:U68"/>
  <sheetViews>
    <sheetView showGridLines="0" topLeftCell="A5" zoomScale="85" zoomScaleNormal="85" workbookViewId="0">
      <selection activeCell="D13" sqref="D13"/>
    </sheetView>
  </sheetViews>
  <sheetFormatPr defaultColWidth="0" defaultRowHeight="14.5" zeroHeight="1"/>
  <cols>
    <col min="1" max="1" width="1.453125" customWidth="1"/>
    <col min="2" max="2" width="3.453125" customWidth="1"/>
    <col min="3" max="3" width="45.453125" customWidth="1"/>
    <col min="4" max="4" width="22.81640625" customWidth="1"/>
    <col min="5" max="5" width="18.81640625" customWidth="1"/>
    <col min="6" max="6" width="17.453125" customWidth="1"/>
    <col min="7" max="7" width="9.453125" customWidth="1"/>
    <col min="8" max="8" width="15.453125" customWidth="1"/>
    <col min="9" max="9" width="20.1796875" customWidth="1"/>
    <col min="10" max="10" width="1.453125" customWidth="1"/>
    <col min="11" max="11" width="20.1796875" customWidth="1"/>
    <col min="12" max="12" width="1.453125" customWidth="1"/>
    <col min="13" max="13" width="7.453125" customWidth="1"/>
    <col min="14" max="14" width="6.453125" customWidth="1"/>
    <col min="15" max="15" width="22" customWidth="1"/>
    <col min="16" max="16" width="13.81640625" customWidth="1"/>
    <col min="17" max="17" width="25.7265625" customWidth="1"/>
    <col min="18" max="18" width="4.26953125" customWidth="1"/>
    <col min="19" max="19" width="15.26953125" hidden="1" customWidth="1"/>
    <col min="20" max="20" width="0" hidden="1" customWidth="1"/>
    <col min="21" max="21" width="14.453125" hidden="1" customWidth="1"/>
    <col min="22" max="16384" width="8.81640625" hidden="1"/>
  </cols>
  <sheetData>
    <row r="1" spans="2:17" ht="15" thickBot="1"/>
    <row r="2" spans="2:17" ht="70.5" customHeight="1" thickBot="1">
      <c r="C2" s="18" t="s">
        <v>1</v>
      </c>
      <c r="D2" s="19"/>
      <c r="E2" s="19"/>
      <c r="F2" s="19"/>
      <c r="G2" s="19"/>
      <c r="H2" s="19"/>
      <c r="I2" s="19"/>
      <c r="J2" s="19"/>
      <c r="K2" s="19"/>
      <c r="L2" s="19"/>
      <c r="M2" s="19"/>
      <c r="N2" s="19"/>
      <c r="O2" s="19"/>
      <c r="P2" s="19"/>
      <c r="Q2" s="20"/>
    </row>
    <row r="3" spans="2:17"/>
    <row r="4" spans="2:17" s="4" customFormat="1" ht="18" customHeight="1">
      <c r="C4" s="276" t="s">
        <v>405</v>
      </c>
      <c r="D4" s="277"/>
      <c r="E4" s="277"/>
      <c r="F4" s="277"/>
      <c r="G4" s="277"/>
      <c r="H4" s="277"/>
      <c r="I4" s="277"/>
      <c r="J4" s="277"/>
      <c r="K4" s="277"/>
      <c r="L4" s="277"/>
      <c r="M4" s="277"/>
      <c r="N4" s="277"/>
      <c r="O4" s="277"/>
      <c r="P4" s="277"/>
      <c r="Q4" s="278"/>
    </row>
    <row r="5" spans="2:17" ht="135" customHeight="1">
      <c r="B5" s="2"/>
      <c r="C5" s="279" t="s">
        <v>406</v>
      </c>
      <c r="D5" s="280"/>
      <c r="E5" s="280"/>
      <c r="F5" s="280"/>
      <c r="G5" s="280"/>
      <c r="H5" s="280"/>
      <c r="I5" s="280"/>
      <c r="J5" s="280"/>
      <c r="K5" s="280"/>
      <c r="L5" s="280"/>
      <c r="M5" s="280"/>
      <c r="N5" s="280"/>
      <c r="O5" s="280"/>
      <c r="P5" s="280"/>
      <c r="Q5" s="281"/>
    </row>
    <row r="6" spans="2:17" ht="5.5" customHeight="1">
      <c r="B6" s="2"/>
    </row>
    <row r="7" spans="2:17" ht="30" customHeight="1">
      <c r="B7" s="2"/>
      <c r="C7" s="133" t="s">
        <v>26</v>
      </c>
    </row>
    <row r="8" spans="2:17" ht="6.75" customHeight="1">
      <c r="B8" s="2"/>
      <c r="C8" s="119"/>
    </row>
    <row r="9" spans="2:17" ht="30" customHeight="1">
      <c r="B9" s="2"/>
      <c r="C9" s="134" t="s">
        <v>27</v>
      </c>
    </row>
    <row r="10" spans="2:17" ht="11.5" customHeight="1">
      <c r="B10" s="2"/>
    </row>
    <row r="11" spans="2:17" s="1" customFormat="1" ht="17.5">
      <c r="B11" s="2"/>
      <c r="C11" s="225" t="s">
        <v>28</v>
      </c>
      <c r="D11" s="74"/>
      <c r="E11" s="74"/>
      <c r="F11" s="74"/>
      <c r="G11" s="74"/>
      <c r="H11" s="74"/>
      <c r="I11" s="74"/>
      <c r="J11" s="74"/>
      <c r="K11" s="74"/>
      <c r="L11" s="74"/>
      <c r="M11" s="74"/>
      <c r="N11" s="74"/>
      <c r="O11" s="74"/>
      <c r="P11" s="74"/>
      <c r="Q11" s="75"/>
    </row>
    <row r="12" spans="2:17" s="1" customFormat="1" ht="20.149999999999999" customHeight="1">
      <c r="B12" s="2"/>
      <c r="C12" s="76"/>
      <c r="D12" s="76"/>
      <c r="E12" s="76"/>
      <c r="F12" s="275" t="s">
        <v>29</v>
      </c>
      <c r="G12" s="275"/>
      <c r="H12" s="275"/>
      <c r="I12" s="275"/>
      <c r="J12" s="275"/>
      <c r="K12" s="275"/>
      <c r="L12" s="275"/>
      <c r="M12" s="275"/>
      <c r="N12" s="275"/>
      <c r="O12" s="275"/>
      <c r="P12" s="275"/>
      <c r="Q12" s="275"/>
    </row>
    <row r="13" spans="2:17" s="1" customFormat="1" ht="30" customHeight="1">
      <c r="B13" s="2"/>
      <c r="C13" s="234" t="s">
        <v>30</v>
      </c>
      <c r="D13" s="208"/>
      <c r="E13" s="3"/>
      <c r="F13" s="275"/>
      <c r="G13" s="275"/>
      <c r="H13" s="275"/>
      <c r="I13" s="275"/>
      <c r="J13" s="275"/>
      <c r="K13" s="275"/>
      <c r="L13" s="275"/>
      <c r="M13" s="275"/>
      <c r="N13" s="275"/>
      <c r="O13" s="275"/>
      <c r="P13" s="275"/>
      <c r="Q13" s="275"/>
    </row>
    <row r="14" spans="2:17" s="1" customFormat="1" ht="20.149999999999999" customHeight="1">
      <c r="B14" s="2"/>
      <c r="C14" s="76"/>
      <c r="D14" s="57"/>
      <c r="E14" s="57"/>
      <c r="F14" s="275"/>
      <c r="G14" s="275"/>
      <c r="H14" s="275"/>
      <c r="I14" s="275"/>
      <c r="J14" s="275"/>
      <c r="K14" s="275"/>
      <c r="L14" s="275"/>
      <c r="M14" s="275"/>
      <c r="N14" s="275"/>
      <c r="O14" s="275"/>
      <c r="P14" s="275"/>
      <c r="Q14" s="275"/>
    </row>
    <row r="15" spans="2:17" s="1" customFormat="1" ht="16" customHeight="1">
      <c r="B15" s="2"/>
      <c r="C15" s="225" t="s">
        <v>31</v>
      </c>
      <c r="D15" s="74"/>
      <c r="E15" s="74"/>
      <c r="F15" s="74"/>
      <c r="G15" s="74"/>
      <c r="H15" s="74"/>
      <c r="I15" s="226" t="s">
        <v>32</v>
      </c>
      <c r="J15" s="74"/>
      <c r="K15" s="226" t="s">
        <v>33</v>
      </c>
      <c r="L15" s="78"/>
      <c r="M15" s="273" t="s">
        <v>34</v>
      </c>
      <c r="N15" s="273"/>
      <c r="O15" s="273"/>
      <c r="P15" s="273"/>
      <c r="Q15" s="274"/>
    </row>
    <row r="16" spans="2:17" s="1" customFormat="1" ht="5.25" customHeight="1">
      <c r="B16" s="2"/>
      <c r="C16" s="11"/>
      <c r="D16" s="12"/>
      <c r="E16" s="12"/>
      <c r="F16" s="12"/>
      <c r="G16" s="12"/>
      <c r="H16" s="12"/>
      <c r="I16" s="13"/>
      <c r="J16" s="12"/>
      <c r="K16" s="12"/>
      <c r="L16" s="12"/>
      <c r="M16" s="13"/>
      <c r="N16" s="13"/>
      <c r="O16" s="13"/>
      <c r="P16" s="13"/>
      <c r="Q16" s="13"/>
    </row>
    <row r="17" spans="2:19" s="1" customFormat="1" ht="17.5">
      <c r="B17" s="2"/>
      <c r="C17" s="283" t="s">
        <v>407</v>
      </c>
      <c r="D17" s="283"/>
      <c r="E17" s="283"/>
      <c r="F17" s="283"/>
      <c r="G17" s="283"/>
      <c r="H17" s="283"/>
      <c r="I17" s="283"/>
      <c r="J17" s="283"/>
      <c r="K17" s="283"/>
      <c r="L17" s="283"/>
      <c r="M17" s="283"/>
      <c r="N17" s="283"/>
      <c r="O17" s="283"/>
      <c r="P17" s="283"/>
      <c r="Q17" s="283"/>
    </row>
    <row r="18" spans="2:19" ht="6.75" customHeight="1"/>
    <row r="19" spans="2:19" ht="11.25" customHeight="1">
      <c r="C19" s="233" t="s">
        <v>35</v>
      </c>
      <c r="D19" s="3"/>
      <c r="E19" s="3"/>
      <c r="F19" s="3"/>
      <c r="G19" s="3"/>
      <c r="H19" s="3"/>
      <c r="I19" s="3"/>
      <c r="J19" s="3"/>
      <c r="K19" s="3"/>
      <c r="L19" s="3"/>
      <c r="M19" s="266" t="s">
        <v>36</v>
      </c>
      <c r="N19" s="266"/>
      <c r="O19" s="266"/>
      <c r="P19" s="266"/>
      <c r="Q19" s="266"/>
    </row>
    <row r="20" spans="2:19" s="4" customFormat="1" ht="30" customHeight="1">
      <c r="C20" s="4" t="s">
        <v>37</v>
      </c>
      <c r="I20" s="161"/>
      <c r="K20" s="161"/>
      <c r="M20" s="266"/>
      <c r="N20" s="266"/>
      <c r="O20" s="266"/>
      <c r="P20" s="266"/>
      <c r="Q20" s="266"/>
    </row>
    <row r="21" spans="2:19" s="4" customFormat="1" ht="5.15" customHeight="1">
      <c r="I21"/>
      <c r="K21"/>
      <c r="M21" s="266"/>
      <c r="N21" s="266"/>
      <c r="O21" s="266"/>
      <c r="P21" s="266"/>
      <c r="Q21" s="266"/>
    </row>
    <row r="22" spans="2:19" s="4" customFormat="1" ht="30" customHeight="1">
      <c r="C22" s="4" t="s">
        <v>38</v>
      </c>
      <c r="I22" s="161"/>
      <c r="K22" s="161"/>
      <c r="M22" s="266"/>
      <c r="N22" s="266"/>
      <c r="O22" s="266"/>
      <c r="P22" s="266"/>
      <c r="Q22" s="266"/>
    </row>
    <row r="23" spans="2:19" s="4" customFormat="1" ht="5.15" customHeight="1">
      <c r="I23"/>
      <c r="J23"/>
      <c r="K23"/>
      <c r="M23" s="266"/>
      <c r="N23" s="266"/>
      <c r="O23" s="266"/>
      <c r="P23" s="266"/>
      <c r="Q23" s="266"/>
    </row>
    <row r="24" spans="2:19" s="4" customFormat="1" ht="30" customHeight="1">
      <c r="C24" s="4" t="s">
        <v>39</v>
      </c>
      <c r="I24" s="161"/>
      <c r="K24" s="161"/>
      <c r="M24" s="266"/>
      <c r="N24" s="266"/>
      <c r="O24" s="266"/>
      <c r="P24" s="266"/>
      <c r="Q24" s="266"/>
    </row>
    <row r="25" spans="2:19" ht="22.5" customHeight="1">
      <c r="M25" s="266"/>
      <c r="N25" s="266"/>
      <c r="O25" s="266"/>
      <c r="P25" s="266"/>
      <c r="Q25" s="266"/>
    </row>
    <row r="26" spans="2:19">
      <c r="C26" s="231" t="s">
        <v>40</v>
      </c>
    </row>
    <row r="27" spans="2:19" s="4" customFormat="1" ht="30" customHeight="1">
      <c r="C27" s="4" t="s">
        <v>41</v>
      </c>
      <c r="I27" s="6">
        <f>I20/0.98</f>
        <v>0</v>
      </c>
      <c r="K27" s="6">
        <f>K20/0.98</f>
        <v>0</v>
      </c>
      <c r="M27" s="266" t="s">
        <v>42</v>
      </c>
      <c r="N27" s="266"/>
      <c r="O27" s="266"/>
      <c r="P27" s="266"/>
      <c r="Q27" s="266"/>
      <c r="S27" s="81"/>
    </row>
    <row r="28" spans="2:19" s="4" customFormat="1" ht="5.15" customHeight="1">
      <c r="I28" s="37"/>
      <c r="K28" s="37"/>
      <c r="M28" s="266"/>
      <c r="N28" s="266"/>
      <c r="O28" s="266"/>
      <c r="P28" s="266"/>
      <c r="Q28" s="266"/>
      <c r="S28" s="81"/>
    </row>
    <row r="29" spans="2:19" s="4" customFormat="1" ht="30" customHeight="1">
      <c r="C29" s="4" t="s">
        <v>43</v>
      </c>
      <c r="I29" s="6">
        <f>I22/0.98</f>
        <v>0</v>
      </c>
      <c r="K29" s="6">
        <f>K22/0.98</f>
        <v>0</v>
      </c>
      <c r="M29" s="266"/>
      <c r="N29" s="266"/>
      <c r="O29" s="266"/>
      <c r="P29" s="266"/>
      <c r="Q29" s="266"/>
    </row>
    <row r="30" spans="2:19" s="4" customFormat="1" ht="5.15" customHeight="1">
      <c r="I30"/>
      <c r="K30"/>
      <c r="M30" s="266"/>
      <c r="N30" s="266"/>
      <c r="O30" s="266"/>
      <c r="P30" s="266"/>
      <c r="Q30" s="266"/>
    </row>
    <row r="31" spans="2:19" s="4" customFormat="1" ht="30" customHeight="1">
      <c r="C31" s="4" t="s">
        <v>44</v>
      </c>
      <c r="F31" s="83"/>
      <c r="I31" s="6">
        <f t="shared" ref="I31" si="0">I24/0.98</f>
        <v>0</v>
      </c>
      <c r="K31" s="6">
        <f>K24/0.98</f>
        <v>0</v>
      </c>
      <c r="M31" s="266"/>
      <c r="N31" s="266"/>
      <c r="O31" s="266"/>
      <c r="P31" s="266"/>
      <c r="Q31" s="266"/>
    </row>
    <row r="32" spans="2:19" ht="21.75" customHeight="1"/>
    <row r="33" spans="3:21" ht="47.15" customHeight="1">
      <c r="C33" s="287" t="s">
        <v>412</v>
      </c>
      <c r="D33" s="287"/>
      <c r="E33" s="287"/>
      <c r="F33" s="287"/>
      <c r="G33" s="287"/>
      <c r="I33" s="79"/>
      <c r="M33" s="275"/>
      <c r="N33" s="275"/>
      <c r="O33" s="275"/>
      <c r="P33" s="275"/>
      <c r="Q33" s="275"/>
      <c r="S33" s="79"/>
      <c r="U33" s="79"/>
    </row>
    <row r="34" spans="3:21" s="4" customFormat="1" ht="30" customHeight="1">
      <c r="C34" s="286" t="s">
        <v>45</v>
      </c>
      <c r="D34" s="266"/>
      <c r="E34" s="266"/>
      <c r="F34" s="266"/>
      <c r="G34" s="266"/>
      <c r="I34" s="73">
        <f>I27*(1.0404)</f>
        <v>0</v>
      </c>
      <c r="K34" s="73">
        <f>K27*(1.0404)</f>
        <v>0</v>
      </c>
      <c r="M34" s="275"/>
      <c r="N34" s="275"/>
      <c r="O34" s="275"/>
      <c r="P34" s="275"/>
      <c r="Q34" s="275"/>
      <c r="S34" s="80"/>
      <c r="T34" s="123"/>
      <c r="U34" s="81"/>
    </row>
    <row r="35" spans="3:21" ht="6" customHeight="1">
      <c r="M35" s="275"/>
      <c r="N35" s="275"/>
      <c r="O35" s="275"/>
      <c r="P35" s="275"/>
      <c r="Q35" s="275"/>
      <c r="T35" s="32"/>
    </row>
    <row r="36" spans="3:21" s="4" customFormat="1" ht="30" customHeight="1">
      <c r="C36" s="286" t="s">
        <v>46</v>
      </c>
      <c r="D36" s="266"/>
      <c r="E36" s="266"/>
      <c r="F36" s="266"/>
      <c r="G36" s="266"/>
      <c r="I36" s="73">
        <f>I29*(1.02)</f>
        <v>0</v>
      </c>
      <c r="K36" s="73">
        <f>K29*(1.02)</f>
        <v>0</v>
      </c>
      <c r="M36" s="275"/>
      <c r="N36" s="275"/>
      <c r="O36" s="275"/>
      <c r="P36" s="275"/>
      <c r="Q36" s="275"/>
    </row>
    <row r="37" spans="3:21" ht="5.25" customHeight="1">
      <c r="M37" s="275"/>
      <c r="N37" s="275"/>
      <c r="O37" s="275"/>
      <c r="P37" s="275"/>
      <c r="Q37" s="275"/>
    </row>
    <row r="38" spans="3:21" s="4" customFormat="1" ht="30" customHeight="1">
      <c r="C38" s="27" t="s">
        <v>47</v>
      </c>
      <c r="I38" s="73">
        <f>I31</f>
        <v>0</v>
      </c>
      <c r="K38" s="73">
        <f>K31</f>
        <v>0</v>
      </c>
      <c r="M38" s="275"/>
      <c r="N38" s="275"/>
      <c r="O38" s="275"/>
      <c r="P38" s="275"/>
      <c r="Q38" s="275"/>
    </row>
    <row r="39" spans="3:21" ht="16.5" customHeight="1">
      <c r="M39" s="275"/>
      <c r="N39" s="275"/>
      <c r="O39" s="275"/>
      <c r="P39" s="275"/>
      <c r="Q39" s="275"/>
      <c r="T39" s="43"/>
    </row>
    <row r="40" spans="3:21" ht="27" customHeight="1">
      <c r="C40" s="231" t="s">
        <v>48</v>
      </c>
      <c r="F40" s="82"/>
      <c r="G40" s="82"/>
      <c r="H40" s="82"/>
      <c r="L40" s="82"/>
    </row>
    <row r="41" spans="3:21" s="4" customFormat="1" ht="30" customHeight="1">
      <c r="C41" s="4" t="s">
        <v>49</v>
      </c>
      <c r="F41" s="83"/>
      <c r="G41" s="83"/>
      <c r="H41" s="83"/>
      <c r="I41" s="6">
        <f>I34*10%</f>
        <v>0</v>
      </c>
      <c r="K41" s="6">
        <f>K34*10%</f>
        <v>0</v>
      </c>
      <c r="L41" s="83"/>
      <c r="M41" s="275" t="s">
        <v>50</v>
      </c>
      <c r="N41" s="275"/>
      <c r="O41" s="275"/>
      <c r="P41" s="275"/>
      <c r="Q41" s="275"/>
    </row>
    <row r="42" spans="3:21" s="4" customFormat="1" ht="5.15" customHeight="1">
      <c r="F42" s="83"/>
      <c r="G42" s="83"/>
      <c r="H42" s="83"/>
      <c r="I42"/>
      <c r="K42"/>
      <c r="L42" s="83"/>
      <c r="M42" s="275"/>
      <c r="N42" s="275"/>
      <c r="O42" s="275"/>
      <c r="P42" s="275"/>
      <c r="Q42" s="275"/>
    </row>
    <row r="43" spans="3:21" s="4" customFormat="1" ht="30" customHeight="1">
      <c r="C43" s="4" t="s">
        <v>51</v>
      </c>
      <c r="I43" s="6">
        <f>I36*30%</f>
        <v>0</v>
      </c>
      <c r="K43" s="6">
        <f>K36*30%</f>
        <v>0</v>
      </c>
      <c r="M43" s="275"/>
      <c r="N43" s="275"/>
      <c r="O43" s="275"/>
      <c r="P43" s="275"/>
      <c r="Q43" s="275"/>
    </row>
    <row r="44" spans="3:21" s="4" customFormat="1" ht="5.15" customHeight="1">
      <c r="I44"/>
      <c r="K44"/>
      <c r="M44" s="275"/>
      <c r="N44" s="275"/>
      <c r="O44" s="275"/>
      <c r="P44" s="275"/>
      <c r="Q44" s="275"/>
    </row>
    <row r="45" spans="3:21" s="4" customFormat="1" ht="30" customHeight="1">
      <c r="C45" s="4" t="s">
        <v>52</v>
      </c>
      <c r="I45" s="6">
        <f>I38*60%</f>
        <v>0</v>
      </c>
      <c r="K45" s="6">
        <f>K38*60%</f>
        <v>0</v>
      </c>
      <c r="M45" s="275"/>
      <c r="N45" s="275"/>
      <c r="O45" s="275"/>
      <c r="P45" s="275"/>
      <c r="Q45" s="275"/>
    </row>
    <row r="46" spans="3:21"/>
    <row r="47" spans="3:21" ht="13.5" customHeight="1">
      <c r="C47" s="53"/>
      <c r="D47" s="53"/>
      <c r="E47" s="53"/>
      <c r="F47" s="53"/>
      <c r="G47" s="53"/>
      <c r="H47" s="53"/>
      <c r="I47" s="53"/>
      <c r="J47" s="43"/>
      <c r="K47" s="53"/>
      <c r="L47" s="53"/>
      <c r="M47" s="53"/>
      <c r="N47" s="53"/>
      <c r="O47" s="53"/>
      <c r="P47" s="53"/>
      <c r="Q47" s="53"/>
    </row>
    <row r="48" spans="3:21" ht="21.75" customHeight="1">
      <c r="C48" s="235" t="s">
        <v>53</v>
      </c>
      <c r="M48" s="266" t="s">
        <v>54</v>
      </c>
      <c r="N48" s="266"/>
      <c r="O48" s="266"/>
      <c r="P48" s="266"/>
      <c r="Q48" s="266"/>
    </row>
    <row r="49" spans="3:17" s="4" customFormat="1" ht="30" customHeight="1">
      <c r="C49" s="266" t="s">
        <v>55</v>
      </c>
      <c r="D49" s="266"/>
      <c r="E49" s="266"/>
      <c r="F49" s="266"/>
      <c r="I49" s="6">
        <f>SUM(I41:I45)</f>
        <v>0</v>
      </c>
      <c r="K49" s="6">
        <f>SUM(K41:K45)</f>
        <v>0</v>
      </c>
      <c r="M49" s="266"/>
      <c r="N49" s="266"/>
      <c r="O49" s="266"/>
      <c r="P49" s="266"/>
      <c r="Q49" s="266"/>
    </row>
    <row r="50" spans="3:17" ht="37.5" customHeight="1">
      <c r="M50" s="266"/>
      <c r="N50" s="266"/>
      <c r="O50" s="266"/>
      <c r="P50" s="266"/>
      <c r="Q50" s="266"/>
    </row>
    <row r="51" spans="3:17">
      <c r="M51" s="284" t="s">
        <v>56</v>
      </c>
      <c r="N51" s="284"/>
      <c r="O51" s="284"/>
      <c r="P51" s="284"/>
      <c r="Q51" s="284"/>
    </row>
    <row r="52" spans="3:17">
      <c r="M52" s="284"/>
      <c r="N52" s="284"/>
      <c r="O52" s="284"/>
      <c r="P52" s="284"/>
      <c r="Q52" s="284"/>
    </row>
    <row r="53" spans="3:17">
      <c r="M53" s="284"/>
      <c r="N53" s="284"/>
      <c r="O53" s="284"/>
      <c r="P53" s="284"/>
      <c r="Q53" s="284"/>
    </row>
    <row r="54" spans="3:17">
      <c r="M54" s="284"/>
      <c r="N54" s="284"/>
      <c r="O54" s="284"/>
      <c r="P54" s="284"/>
      <c r="Q54" s="284"/>
    </row>
    <row r="55" spans="3:17">
      <c r="C55" s="282" t="s">
        <v>57</v>
      </c>
      <c r="D55" s="282"/>
      <c r="E55" s="282"/>
      <c r="F55" s="282"/>
      <c r="G55" s="282"/>
      <c r="H55" s="282"/>
      <c r="I55" s="282"/>
      <c r="J55" s="282"/>
      <c r="K55" s="282"/>
      <c r="L55" s="282"/>
      <c r="M55" s="282"/>
      <c r="N55" s="282"/>
      <c r="O55" s="282"/>
      <c r="P55" s="282"/>
      <c r="Q55" s="282"/>
    </row>
    <row r="56" spans="3:17" ht="25.5" customHeight="1">
      <c r="C56" s="231" t="s">
        <v>58</v>
      </c>
      <c r="M56" s="285" t="s">
        <v>59</v>
      </c>
      <c r="N56" s="285"/>
      <c r="O56" s="285"/>
      <c r="P56" s="285"/>
      <c r="Q56" s="285"/>
    </row>
    <row r="57" spans="3:17" ht="5.25" customHeight="1">
      <c r="M57" s="285"/>
      <c r="N57" s="285"/>
      <c r="O57" s="285"/>
      <c r="P57" s="285"/>
      <c r="Q57" s="285"/>
    </row>
    <row r="58" spans="3:17" ht="30" customHeight="1">
      <c r="C58" s="266" t="s">
        <v>60</v>
      </c>
      <c r="D58" s="266"/>
      <c r="E58" s="266"/>
      <c r="F58" s="266"/>
      <c r="I58" s="22">
        <v>0</v>
      </c>
      <c r="J58" s="4"/>
      <c r="K58" s="22">
        <v>0</v>
      </c>
      <c r="M58" s="285"/>
      <c r="N58" s="285"/>
      <c r="O58" s="285"/>
      <c r="P58" s="285"/>
      <c r="Q58" s="285"/>
    </row>
    <row r="59" spans="3:17" ht="23.25" customHeight="1">
      <c r="C59" s="231" t="s">
        <v>61</v>
      </c>
      <c r="M59" s="285"/>
      <c r="N59" s="285"/>
      <c r="O59" s="285"/>
      <c r="P59" s="285"/>
      <c r="Q59" s="285"/>
    </row>
    <row r="60" spans="3:17" ht="30" customHeight="1">
      <c r="C60" s="266" t="s">
        <v>62</v>
      </c>
      <c r="D60" s="266"/>
      <c r="E60" s="266"/>
      <c r="F60" s="266"/>
      <c r="I60" s="22">
        <v>0</v>
      </c>
      <c r="J60" s="4"/>
      <c r="K60" s="22">
        <v>0</v>
      </c>
      <c r="M60" s="285"/>
      <c r="N60" s="285"/>
      <c r="O60" s="285"/>
      <c r="P60" s="285"/>
      <c r="Q60" s="285"/>
    </row>
    <row r="61" spans="3:17" ht="24" customHeight="1">
      <c r="M61" s="285"/>
      <c r="N61" s="285"/>
      <c r="O61" s="285"/>
      <c r="P61" s="285"/>
      <c r="Q61" s="285"/>
    </row>
    <row r="62" spans="3:17" ht="5.15" customHeight="1">
      <c r="M62" s="99"/>
      <c r="N62" s="99"/>
      <c r="O62" s="99"/>
      <c r="P62" s="99"/>
      <c r="Q62" s="99"/>
    </row>
    <row r="63" spans="3:17">
      <c r="C63" s="282" t="s">
        <v>63</v>
      </c>
      <c r="D63" s="282"/>
      <c r="E63" s="282"/>
      <c r="F63" s="282"/>
      <c r="G63" s="282"/>
      <c r="H63" s="282"/>
      <c r="I63" s="282"/>
      <c r="J63" s="282"/>
      <c r="K63" s="282"/>
      <c r="L63" s="282"/>
      <c r="M63" s="282"/>
      <c r="N63" s="282"/>
      <c r="O63" s="282"/>
      <c r="P63" s="282"/>
      <c r="Q63" s="282"/>
    </row>
    <row r="64" spans="3:17" ht="5.5" customHeight="1">
      <c r="M64" s="88"/>
      <c r="N64" s="88"/>
      <c r="O64" s="88"/>
      <c r="P64" s="88"/>
      <c r="Q64" s="88"/>
    </row>
    <row r="65" spans="3:17" ht="30" customHeight="1">
      <c r="C65" s="4" t="s">
        <v>64</v>
      </c>
      <c r="I65" s="22">
        <f>SUM(I41:I45)+I58</f>
        <v>0</v>
      </c>
      <c r="J65" s="4"/>
      <c r="K65" s="22">
        <f>SUM(K41:K45)+K58</f>
        <v>0</v>
      </c>
      <c r="M65" s="88"/>
      <c r="N65" s="88"/>
      <c r="O65" s="88"/>
      <c r="P65" s="88"/>
      <c r="Q65" s="88"/>
    </row>
    <row r="66" spans="3:17">
      <c r="M66" s="88"/>
      <c r="N66" s="88"/>
      <c r="O66" s="88"/>
      <c r="P66" s="88"/>
      <c r="Q66" s="88"/>
    </row>
    <row r="67" spans="3:17">
      <c r="C67" s="31" t="s">
        <v>0</v>
      </c>
    </row>
    <row r="68" spans="3:17"/>
  </sheetData>
  <sheetProtection algorithmName="SHA-512" hashValue="Jjen0hxlCtvTly7C3+EWBYuC7a5J0qTEt49q+1mRxC/W7UYn/uGQajy9ST7DYsrXOH9UG/eW4u2FxqB2K44rZw==" saltValue="2bWT0x9ZrSA/+W/0jhYqdA==" spinCount="100000" sheet="1" objects="1" scenarios="1"/>
  <mergeCells count="20">
    <mergeCell ref="C55:Q55"/>
    <mergeCell ref="C17:Q17"/>
    <mergeCell ref="C63:Q63"/>
    <mergeCell ref="C60:F60"/>
    <mergeCell ref="C58:F58"/>
    <mergeCell ref="M51:Q54"/>
    <mergeCell ref="M56:Q61"/>
    <mergeCell ref="M48:Q50"/>
    <mergeCell ref="C49:F49"/>
    <mergeCell ref="M41:Q45"/>
    <mergeCell ref="C34:G34"/>
    <mergeCell ref="C36:G36"/>
    <mergeCell ref="M33:Q39"/>
    <mergeCell ref="C33:G33"/>
    <mergeCell ref="M15:Q15"/>
    <mergeCell ref="M27:Q31"/>
    <mergeCell ref="F12:Q14"/>
    <mergeCell ref="M19:Q25"/>
    <mergeCell ref="C4:Q4"/>
    <mergeCell ref="C5:Q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06E9-F7F5-491A-A282-5D3CA9E6C5DE}">
  <sheetPr>
    <tabColor rgb="FF999DF3"/>
  </sheetPr>
  <dimension ref="A1:U54"/>
  <sheetViews>
    <sheetView showGridLines="0" zoomScale="85" zoomScaleNormal="85" workbookViewId="0">
      <selection activeCell="K15" sqref="K15"/>
    </sheetView>
  </sheetViews>
  <sheetFormatPr defaultColWidth="0" defaultRowHeight="14.5" zeroHeight="1"/>
  <cols>
    <col min="1" max="1" width="1.453125" customWidth="1"/>
    <col min="2" max="2" width="3.54296875" customWidth="1"/>
    <col min="3" max="3" width="33.54296875" customWidth="1"/>
    <col min="4" max="4" width="34" customWidth="1"/>
    <col min="5" max="5" width="28.1796875" customWidth="1"/>
    <col min="6" max="6" width="21.26953125" customWidth="1"/>
    <col min="7" max="7" width="9" customWidth="1"/>
    <col min="8" max="8" width="1.1796875" customWidth="1"/>
    <col min="9" max="9" width="20.1796875" customWidth="1"/>
    <col min="10" max="10" width="1.453125" customWidth="1"/>
    <col min="11" max="11" width="20.1796875" customWidth="1"/>
    <col min="12" max="12" width="3.453125" customWidth="1"/>
    <col min="13" max="13" width="13.1796875" customWidth="1"/>
    <col min="14" max="14" width="9" bestFit="1" customWidth="1"/>
    <col min="15" max="15" width="27.7265625" customWidth="1"/>
    <col min="16" max="16" width="23.7265625" customWidth="1"/>
    <col min="17" max="17" width="30.453125" customWidth="1"/>
    <col min="18" max="18" width="8.7265625" customWidth="1"/>
    <col min="19" max="19" width="42.7265625" hidden="1" customWidth="1"/>
    <col min="20" max="20" width="15.26953125" hidden="1" customWidth="1"/>
    <col min="21" max="21" width="12.54296875" hidden="1" customWidth="1"/>
    <col min="22" max="16384" width="9.1796875" hidden="1"/>
  </cols>
  <sheetData>
    <row r="1" spans="1:17" ht="15" thickBot="1"/>
    <row r="2" spans="1:17" ht="63.75" customHeight="1" thickBot="1">
      <c r="C2" s="18" t="s">
        <v>1</v>
      </c>
      <c r="D2" s="19"/>
      <c r="E2" s="19"/>
      <c r="F2" s="19"/>
      <c r="G2" s="19"/>
      <c r="H2" s="19"/>
      <c r="I2" s="19"/>
      <c r="J2" s="19"/>
      <c r="K2" s="19"/>
      <c r="L2" s="19"/>
      <c r="M2" s="19"/>
      <c r="N2" s="19"/>
      <c r="O2" s="19"/>
      <c r="P2" s="19"/>
      <c r="Q2" s="20"/>
    </row>
    <row r="3" spans="1:17"/>
    <row r="4" spans="1:17" s="4" customFormat="1" ht="18" customHeight="1">
      <c r="C4" s="290" t="s">
        <v>357</v>
      </c>
      <c r="D4" s="291"/>
      <c r="E4" s="291"/>
      <c r="F4" s="291"/>
      <c r="G4" s="291"/>
      <c r="H4" s="291"/>
      <c r="I4" s="291"/>
      <c r="J4" s="291"/>
      <c r="K4" s="291"/>
      <c r="L4" s="291"/>
      <c r="M4" s="291"/>
      <c r="N4" s="291"/>
      <c r="O4" s="291"/>
      <c r="P4" s="291"/>
      <c r="Q4" s="292"/>
    </row>
    <row r="5" spans="1:17" ht="85" customHeight="1">
      <c r="B5" s="2"/>
      <c r="C5" s="293" t="s">
        <v>408</v>
      </c>
      <c r="D5" s="293"/>
      <c r="E5" s="293"/>
      <c r="F5" s="293"/>
      <c r="G5" s="293"/>
      <c r="H5" s="293"/>
      <c r="I5" s="293"/>
      <c r="J5" s="293"/>
      <c r="K5" s="293"/>
      <c r="L5" s="293"/>
      <c r="M5" s="293"/>
      <c r="N5" s="293"/>
      <c r="O5" s="293"/>
      <c r="P5" s="293"/>
      <c r="Q5" s="294"/>
    </row>
    <row r="6" spans="1:17" ht="6" customHeight="1">
      <c r="B6" s="2"/>
    </row>
    <row r="7" spans="1:17" ht="30" customHeight="1">
      <c r="B7" s="2"/>
      <c r="C7" s="133" t="s">
        <v>26</v>
      </c>
    </row>
    <row r="8" spans="1:17" ht="6" customHeight="1">
      <c r="B8" s="2"/>
      <c r="C8" s="119"/>
    </row>
    <row r="9" spans="1:17" ht="30" customHeight="1">
      <c r="B9" s="2"/>
      <c r="C9" s="134" t="s">
        <v>27</v>
      </c>
    </row>
    <row r="10" spans="1:17" ht="8.25" customHeight="1">
      <c r="B10" s="2"/>
    </row>
    <row r="11" spans="1:17" s="1" customFormat="1" ht="16" customHeight="1">
      <c r="B11" s="2"/>
      <c r="C11" s="225" t="s">
        <v>65</v>
      </c>
      <c r="D11" s="74"/>
      <c r="E11" s="74"/>
      <c r="F11" s="74"/>
      <c r="G11" s="74"/>
      <c r="H11" s="74"/>
      <c r="I11" s="226" t="s">
        <v>32</v>
      </c>
      <c r="J11" s="74"/>
      <c r="K11" s="226" t="s">
        <v>33</v>
      </c>
      <c r="L11" s="227"/>
      <c r="M11" s="273" t="s">
        <v>34</v>
      </c>
      <c r="N11" s="273"/>
      <c r="O11" s="273"/>
      <c r="P11" s="273"/>
      <c r="Q11" s="274"/>
    </row>
    <row r="12" spans="1:17" s="2" customFormat="1" ht="10.5" customHeight="1">
      <c r="A12" s="1"/>
    </row>
    <row r="13" spans="1:17" s="1" customFormat="1" ht="18.75" customHeight="1">
      <c r="B13" s="2"/>
      <c r="C13" s="282" t="s">
        <v>409</v>
      </c>
      <c r="D13" s="282"/>
      <c r="E13" s="282"/>
      <c r="F13" s="282"/>
      <c r="G13" s="282"/>
      <c r="H13" s="282"/>
      <c r="I13" s="282"/>
      <c r="J13" s="282"/>
      <c r="K13" s="282"/>
      <c r="L13" s="282"/>
      <c r="M13" s="282"/>
      <c r="N13" s="282"/>
      <c r="O13" s="282"/>
      <c r="P13" s="282"/>
      <c r="Q13" s="282"/>
    </row>
    <row r="14" spans="1:17" s="1" customFormat="1" ht="6" customHeight="1">
      <c r="B14" s="2"/>
      <c r="C14" s="11"/>
      <c r="D14" s="12"/>
      <c r="E14" s="12"/>
      <c r="F14" s="12"/>
      <c r="G14" s="12"/>
      <c r="H14" s="12"/>
      <c r="I14" s="13"/>
      <c r="J14" s="12"/>
      <c r="K14" s="12"/>
      <c r="L14" s="12"/>
      <c r="M14" s="13"/>
      <c r="N14" s="13"/>
      <c r="O14" s="13"/>
      <c r="P14" s="13"/>
      <c r="Q14" s="13"/>
    </row>
    <row r="15" spans="1:17" s="1" customFormat="1" ht="18.75" customHeight="1">
      <c r="B15" s="2"/>
      <c r="C15" s="231" t="s">
        <v>66</v>
      </c>
      <c r="D15" s="12"/>
      <c r="E15" s="12"/>
      <c r="F15" s="12"/>
      <c r="G15" s="12"/>
      <c r="H15" s="12"/>
      <c r="I15" s="13"/>
      <c r="J15" s="12"/>
      <c r="K15" s="12"/>
      <c r="L15" s="12"/>
      <c r="M15" s="288" t="s">
        <v>67</v>
      </c>
      <c r="N15" s="288"/>
      <c r="O15" s="288"/>
      <c r="P15" s="288"/>
      <c r="Q15" s="288"/>
    </row>
    <row r="16" spans="1:17" s="1" customFormat="1" ht="44.25" customHeight="1">
      <c r="B16" s="2"/>
      <c r="C16" s="4" t="s">
        <v>68</v>
      </c>
      <c r="D16" s="12"/>
      <c r="E16" s="12"/>
      <c r="F16" s="12"/>
      <c r="G16" s="12"/>
      <c r="H16" s="12"/>
      <c r="I16" s="13"/>
      <c r="J16" s="12"/>
      <c r="K16" s="12"/>
      <c r="L16" s="12"/>
      <c r="M16" s="288"/>
      <c r="N16" s="288"/>
      <c r="O16" s="288"/>
      <c r="P16" s="288"/>
      <c r="Q16" s="288"/>
    </row>
    <row r="17" spans="2:19" s="1" customFormat="1" ht="30" customHeight="1">
      <c r="B17" s="2"/>
      <c r="C17" s="295" t="s">
        <v>69</v>
      </c>
      <c r="D17" s="295"/>
      <c r="E17" s="295"/>
      <c r="I17" s="162"/>
      <c r="J17" s="12"/>
      <c r="K17" s="162"/>
      <c r="L17" s="12"/>
      <c r="M17" s="288"/>
      <c r="N17" s="288"/>
      <c r="O17" s="288"/>
      <c r="P17" s="288"/>
      <c r="Q17" s="288"/>
    </row>
    <row r="18" spans="2:19" s="1" customFormat="1" ht="4.5" customHeight="1">
      <c r="B18" s="2"/>
      <c r="C18" s="164"/>
      <c r="D18" s="164"/>
      <c r="E18" s="164"/>
      <c r="G18" s="164"/>
      <c r="H18" s="164"/>
      <c r="I18" s="164"/>
      <c r="J18" s="164"/>
      <c r="K18" s="164"/>
      <c r="L18" s="12"/>
      <c r="M18" s="288"/>
      <c r="N18" s="288"/>
      <c r="O18" s="288"/>
      <c r="P18" s="288"/>
      <c r="Q18" s="288"/>
    </row>
    <row r="19" spans="2:19" s="100" customFormat="1" ht="30" customHeight="1">
      <c r="B19" s="2"/>
      <c r="C19" s="295" t="s">
        <v>70</v>
      </c>
      <c r="D19" s="295"/>
      <c r="E19" s="295"/>
      <c r="I19" s="162"/>
      <c r="J19" s="12"/>
      <c r="K19" s="162"/>
      <c r="L19" s="58"/>
      <c r="M19" s="288"/>
      <c r="N19" s="288"/>
      <c r="O19" s="288"/>
      <c r="P19" s="288"/>
      <c r="Q19" s="288"/>
      <c r="R19" s="101"/>
      <c r="S19" s="101"/>
    </row>
    <row r="20" spans="2:19" s="1" customFormat="1" ht="17.5">
      <c r="B20" s="2"/>
      <c r="L20" s="63"/>
      <c r="M20" s="288"/>
      <c r="N20" s="288"/>
      <c r="O20" s="288"/>
      <c r="P20" s="288"/>
      <c r="Q20" s="288"/>
      <c r="R20" s="57"/>
      <c r="S20" s="57"/>
    </row>
    <row r="21" spans="2:19" s="1" customFormat="1" ht="51" customHeight="1">
      <c r="B21" s="2"/>
      <c r="L21" s="63"/>
      <c r="M21" s="288"/>
      <c r="N21" s="288"/>
      <c r="O21" s="288"/>
      <c r="P21" s="288"/>
      <c r="Q21" s="288"/>
      <c r="R21" s="57"/>
      <c r="S21" s="57"/>
    </row>
    <row r="22" spans="2:19" s="1" customFormat="1" ht="27" customHeight="1">
      <c r="B22" s="2"/>
      <c r="C22" s="231" t="s">
        <v>71</v>
      </c>
      <c r="L22" s="63"/>
      <c r="M22" s="58"/>
      <c r="N22" s="58"/>
      <c r="O22" s="58"/>
      <c r="P22" s="58"/>
      <c r="Q22" s="58"/>
      <c r="R22" s="57"/>
      <c r="S22" s="57"/>
    </row>
    <row r="23" spans="2:19" s="1" customFormat="1" ht="6.75" customHeight="1">
      <c r="B23" s="2"/>
      <c r="L23" s="63"/>
      <c r="M23" s="288" t="s">
        <v>72</v>
      </c>
      <c r="N23" s="288"/>
      <c r="O23" s="288"/>
      <c r="P23" s="288"/>
      <c r="Q23" s="288"/>
      <c r="R23" s="57"/>
      <c r="S23" s="57"/>
    </row>
    <row r="24" spans="2:19" s="1" customFormat="1" ht="47.25" customHeight="1">
      <c r="B24" s="2"/>
      <c r="C24" s="288" t="s">
        <v>73</v>
      </c>
      <c r="D24" s="288"/>
      <c r="E24" s="288"/>
      <c r="F24" s="288"/>
      <c r="I24" s="96">
        <f>I19-I17</f>
        <v>0</v>
      </c>
      <c r="J24" s="63"/>
      <c r="K24" s="96">
        <f>K19-K17</f>
        <v>0</v>
      </c>
      <c r="L24" s="63"/>
      <c r="M24" s="288"/>
      <c r="N24" s="288"/>
      <c r="O24" s="288"/>
      <c r="P24" s="288"/>
      <c r="Q24" s="288"/>
      <c r="R24" s="57"/>
      <c r="S24" s="57"/>
    </row>
    <row r="25" spans="2:19" s="1" customFormat="1" ht="10.5" customHeight="1">
      <c r="B25" s="2"/>
      <c r="C25" s="164"/>
      <c r="D25" s="164"/>
      <c r="E25" s="164"/>
      <c r="G25" s="164"/>
      <c r="H25" s="164"/>
      <c r="I25" s="164"/>
      <c r="J25" s="164"/>
      <c r="K25" s="164"/>
      <c r="L25" s="12"/>
      <c r="M25" s="13"/>
      <c r="N25" s="13"/>
      <c r="O25" s="13"/>
      <c r="P25" s="13"/>
      <c r="Q25" s="13"/>
    </row>
    <row r="26" spans="2:19" s="1" customFormat="1" ht="47.25" customHeight="1">
      <c r="B26" s="2"/>
      <c r="C26" s="288" t="s">
        <v>74</v>
      </c>
      <c r="D26" s="288"/>
      <c r="E26" s="288"/>
      <c r="F26" s="288"/>
      <c r="I26" s="96">
        <f>I24</f>
        <v>0</v>
      </c>
      <c r="J26" s="63"/>
      <c r="K26" s="96">
        <f>K24</f>
        <v>0</v>
      </c>
      <c r="L26" s="63"/>
      <c r="M26" s="288" t="s">
        <v>75</v>
      </c>
      <c r="N26" s="288"/>
      <c r="O26" s="288"/>
      <c r="P26" s="288"/>
      <c r="Q26" s="288"/>
      <c r="R26" s="57"/>
      <c r="S26" s="57"/>
    </row>
    <row r="27" spans="2:19" s="1" customFormat="1" ht="6.75" customHeight="1">
      <c r="B27" s="2"/>
      <c r="C27" s="103"/>
      <c r="D27" s="103"/>
      <c r="E27" s="103"/>
      <c r="F27" s="63"/>
      <c r="G27" s="63"/>
      <c r="H27" s="63"/>
      <c r="I27" s="58"/>
      <c r="J27" s="12"/>
      <c r="K27" s="58"/>
      <c r="L27" s="12"/>
      <c r="M27" s="58"/>
      <c r="N27" s="58"/>
      <c r="O27" s="58"/>
      <c r="P27" s="58"/>
      <c r="Q27" s="58"/>
    </row>
    <row r="28" spans="2:19" s="1" customFormat="1" ht="14.25" customHeight="1">
      <c r="B28" s="2"/>
      <c r="C28" s="231" t="s">
        <v>76</v>
      </c>
      <c r="D28" s="12"/>
      <c r="E28" s="12"/>
      <c r="F28" s="12"/>
      <c r="G28" s="12"/>
      <c r="H28" s="12"/>
      <c r="I28" s="91"/>
      <c r="J28" s="12"/>
      <c r="K28" s="12"/>
      <c r="L28" s="12"/>
      <c r="M28" s="13"/>
      <c r="N28" s="13"/>
      <c r="O28" s="13"/>
      <c r="P28" s="13"/>
      <c r="Q28" s="13"/>
    </row>
    <row r="29" spans="2:19" s="1" customFormat="1" ht="9.75" customHeight="1">
      <c r="B29" s="2"/>
      <c r="C29" s="5"/>
      <c r="D29" s="12"/>
      <c r="E29" s="12"/>
      <c r="F29" s="12"/>
      <c r="G29" s="12"/>
      <c r="H29" s="12"/>
      <c r="I29" s="91"/>
      <c r="J29" s="12"/>
      <c r="K29" s="12"/>
      <c r="L29" s="12"/>
      <c r="N29" s="104"/>
      <c r="O29" s="104"/>
      <c r="P29" s="104"/>
      <c r="Q29" s="104"/>
    </row>
    <row r="30" spans="2:19" s="1" customFormat="1" ht="30" customHeight="1">
      <c r="B30" s="2"/>
      <c r="C30" s="288" t="s">
        <v>77</v>
      </c>
      <c r="D30" s="288"/>
      <c r="E30" s="288"/>
      <c r="F30" s="12"/>
      <c r="G30" s="62"/>
      <c r="I30" s="161"/>
      <c r="J30" s="12"/>
      <c r="K30" s="161"/>
      <c r="L30" s="12"/>
      <c r="M30" s="104"/>
      <c r="N30" s="104"/>
      <c r="O30" s="104"/>
      <c r="P30" s="104"/>
      <c r="Q30" s="104"/>
    </row>
    <row r="31" spans="2:19" s="1" customFormat="1" ht="15" customHeight="1">
      <c r="B31" s="2"/>
      <c r="C31" s="5"/>
      <c r="D31" s="12"/>
      <c r="E31" s="12"/>
      <c r="F31" s="12"/>
      <c r="G31" s="12"/>
      <c r="H31" s="12"/>
      <c r="I31" s="91"/>
      <c r="J31" s="12"/>
      <c r="K31" s="12"/>
      <c r="L31" s="12"/>
      <c r="N31" s="104"/>
      <c r="O31" s="104"/>
      <c r="P31" s="104"/>
      <c r="Q31" s="104"/>
    </row>
    <row r="32" spans="2:19" s="1" customFormat="1" ht="28.5" customHeight="1">
      <c r="B32" s="2"/>
      <c r="C32" s="289" t="s">
        <v>78</v>
      </c>
      <c r="D32" s="288"/>
      <c r="E32" s="288"/>
      <c r="F32" s="288"/>
      <c r="G32" s="12"/>
      <c r="H32" s="12"/>
      <c r="I32" s="73">
        <f>IFERROR(I30/I19,0)</f>
        <v>0</v>
      </c>
      <c r="J32" s="102"/>
      <c r="K32" s="73">
        <f>IFERROR(K30/K19,0)</f>
        <v>0</v>
      </c>
      <c r="L32" s="12"/>
      <c r="M32" s="104"/>
      <c r="N32" s="104"/>
      <c r="O32" s="104"/>
      <c r="P32" s="104"/>
      <c r="Q32" s="104"/>
    </row>
    <row r="33" spans="2:20" s="1" customFormat="1" ht="11.15" customHeight="1">
      <c r="B33" s="2"/>
      <c r="C33" s="5"/>
      <c r="D33" s="12"/>
      <c r="E33" s="12"/>
      <c r="F33" s="12"/>
      <c r="G33" s="12"/>
      <c r="H33" s="12"/>
      <c r="I33" s="91"/>
      <c r="J33" s="12"/>
      <c r="K33" s="12"/>
      <c r="L33" s="12"/>
      <c r="M33" s="288" t="s">
        <v>79</v>
      </c>
      <c r="N33" s="288"/>
      <c r="O33" s="288"/>
      <c r="P33" s="288"/>
      <c r="Q33" s="288"/>
    </row>
    <row r="34" spans="2:20" s="1" customFormat="1" ht="30" customHeight="1">
      <c r="B34" s="2"/>
      <c r="C34" s="165" t="s">
        <v>80</v>
      </c>
      <c r="D34" s="63"/>
      <c r="E34" s="63"/>
      <c r="F34" s="63"/>
      <c r="G34" s="63"/>
      <c r="H34" s="63"/>
      <c r="I34" s="72">
        <v>0.8</v>
      </c>
      <c r="K34" s="72">
        <v>0.8</v>
      </c>
      <c r="L34" s="12"/>
      <c r="M34" s="288"/>
      <c r="N34" s="288"/>
      <c r="O34" s="288"/>
      <c r="P34" s="288"/>
      <c r="Q34" s="288"/>
    </row>
    <row r="35" spans="2:20" s="1" customFormat="1" ht="5.25" customHeight="1">
      <c r="B35" s="2"/>
      <c r="C35" s="63"/>
      <c r="D35" s="63"/>
      <c r="E35" s="92"/>
      <c r="F35" s="63"/>
      <c r="G35" s="63"/>
      <c r="H35" s="63"/>
      <c r="I35" s="64"/>
      <c r="K35" s="63"/>
      <c r="L35" s="12"/>
      <c r="M35" s="104"/>
      <c r="N35" s="104"/>
      <c r="O35" s="104"/>
      <c r="P35" s="104"/>
      <c r="Q35" s="104"/>
    </row>
    <row r="36" spans="2:20" s="1" customFormat="1" ht="30" customHeight="1">
      <c r="B36" s="2"/>
      <c r="C36" s="165" t="s">
        <v>81</v>
      </c>
      <c r="D36" s="63"/>
      <c r="E36" s="92"/>
      <c r="F36" s="63"/>
      <c r="G36" s="63"/>
      <c r="H36" s="63"/>
      <c r="I36" s="160">
        <v>1.04</v>
      </c>
      <c r="K36" s="160">
        <v>1.04</v>
      </c>
      <c r="L36" s="12"/>
      <c r="M36" s="288" t="s">
        <v>82</v>
      </c>
      <c r="N36" s="288"/>
      <c r="O36" s="288"/>
      <c r="P36" s="288"/>
      <c r="Q36" s="288"/>
    </row>
    <row r="37" spans="2:20" s="1" customFormat="1" ht="6.75" customHeight="1">
      <c r="B37" s="2"/>
      <c r="C37" s="11"/>
      <c r="D37" s="12"/>
      <c r="E37" s="93"/>
      <c r="F37" s="12"/>
      <c r="G37" s="12"/>
      <c r="H37" s="12"/>
      <c r="I37" s="13"/>
      <c r="J37" s="12"/>
      <c r="K37" s="12"/>
      <c r="L37" s="12"/>
      <c r="M37" s="104"/>
      <c r="N37" s="104"/>
      <c r="O37" s="104"/>
      <c r="P37" s="104"/>
      <c r="Q37" s="104"/>
    </row>
    <row r="38" spans="2:20" s="1" customFormat="1" ht="30" customHeight="1">
      <c r="B38" s="2"/>
      <c r="C38" s="63" t="s">
        <v>83</v>
      </c>
      <c r="D38" s="12"/>
      <c r="E38" s="94"/>
      <c r="F38" s="12"/>
      <c r="G38" s="12"/>
      <c r="H38" s="12"/>
      <c r="I38" s="73">
        <f>I32*I34*I36</f>
        <v>0</v>
      </c>
      <c r="K38" s="73">
        <f>K32*K34*K36</f>
        <v>0</v>
      </c>
      <c r="L38" s="12"/>
      <c r="M38" s="288" t="s">
        <v>84</v>
      </c>
      <c r="N38" s="288"/>
      <c r="O38" s="288"/>
      <c r="P38" s="288"/>
      <c r="Q38" s="288"/>
    </row>
    <row r="39" spans="2:20" s="1" customFormat="1" ht="11.25" customHeight="1">
      <c r="B39" s="2"/>
      <c r="C39" s="11"/>
      <c r="D39" s="12"/>
      <c r="E39" s="12"/>
      <c r="F39" s="12"/>
      <c r="G39" s="12"/>
      <c r="H39" s="12"/>
      <c r="I39" s="13"/>
      <c r="J39" s="12"/>
      <c r="K39" s="12"/>
      <c r="L39" s="12"/>
      <c r="M39" s="13"/>
      <c r="N39" s="13"/>
      <c r="O39" s="13"/>
      <c r="P39" s="13"/>
      <c r="Q39" s="13"/>
    </row>
    <row r="40" spans="2:20" s="1" customFormat="1" ht="18.75" customHeight="1">
      <c r="B40" s="2"/>
      <c r="C40" s="231" t="s">
        <v>85</v>
      </c>
      <c r="D40" s="63"/>
      <c r="E40" s="63"/>
      <c r="F40" s="63"/>
      <c r="G40" s="63"/>
      <c r="H40" s="63"/>
      <c r="I40" s="64"/>
      <c r="J40" s="63"/>
      <c r="K40" s="63"/>
      <c r="L40" s="63"/>
      <c r="M40" s="77"/>
      <c r="N40" s="77"/>
      <c r="O40" s="77"/>
      <c r="P40" s="77"/>
      <c r="Q40" s="77"/>
      <c r="T40" s="87"/>
    </row>
    <row r="41" spans="2:20" s="1" customFormat="1" ht="4.5" customHeight="1">
      <c r="B41" s="2"/>
      <c r="C41" s="5"/>
      <c r="D41" s="63"/>
      <c r="E41" s="63"/>
      <c r="F41" s="63"/>
      <c r="G41" s="63"/>
      <c r="H41" s="63"/>
      <c r="I41" s="64"/>
      <c r="J41" s="63"/>
      <c r="K41" s="63"/>
      <c r="L41" s="63"/>
      <c r="M41" s="77"/>
      <c r="N41" s="77"/>
      <c r="O41" s="77"/>
      <c r="P41" s="77"/>
      <c r="Q41" s="77"/>
      <c r="T41" s="87"/>
    </row>
    <row r="42" spans="2:20" s="1" customFormat="1" ht="30" customHeight="1">
      <c r="B42" s="2"/>
      <c r="C42" s="95" t="s">
        <v>86</v>
      </c>
      <c r="D42" s="63"/>
      <c r="E42" s="63"/>
      <c r="F42" s="63"/>
      <c r="G42" s="63"/>
      <c r="H42" s="63"/>
      <c r="I42" s="96">
        <f>(I24*0.5)+(I24*0.5)</f>
        <v>0</v>
      </c>
      <c r="J42" s="63"/>
      <c r="K42" s="96">
        <f>(K24*0.5)+(K24*0.5)</f>
        <v>0</v>
      </c>
      <c r="L42" s="63"/>
      <c r="M42" s="275" t="s">
        <v>87</v>
      </c>
      <c r="N42" s="275"/>
      <c r="O42" s="275"/>
      <c r="P42" s="275"/>
      <c r="Q42" s="275"/>
      <c r="T42" s="87"/>
    </row>
    <row r="43" spans="2:20" s="1" customFormat="1" ht="17.5">
      <c r="B43" s="2"/>
      <c r="C43" s="5"/>
      <c r="D43" s="63"/>
      <c r="E43" s="63"/>
      <c r="F43" s="63"/>
      <c r="G43" s="63"/>
      <c r="H43" s="63"/>
      <c r="I43" s="64"/>
      <c r="J43" s="63"/>
      <c r="K43" s="63"/>
      <c r="L43" s="63"/>
      <c r="M43" s="64"/>
      <c r="N43" s="64"/>
      <c r="O43" s="64"/>
      <c r="P43" s="64"/>
      <c r="Q43" s="64"/>
      <c r="T43" s="87"/>
    </row>
    <row r="44" spans="2:20" ht="30" customHeight="1">
      <c r="C44" s="95" t="s">
        <v>88</v>
      </c>
      <c r="D44" s="3"/>
      <c r="E44" s="3"/>
      <c r="F44" s="3"/>
      <c r="G44" s="3"/>
      <c r="H44" s="3"/>
      <c r="I44" s="73">
        <f>I38*I42</f>
        <v>0</v>
      </c>
      <c r="J44" s="63"/>
      <c r="K44" s="73">
        <f>K38*K42</f>
        <v>0</v>
      </c>
      <c r="L44" s="3"/>
      <c r="M44" s="297" t="s">
        <v>89</v>
      </c>
      <c r="N44" s="297"/>
      <c r="O44" s="297"/>
      <c r="P44" s="297"/>
      <c r="Q44" s="297"/>
    </row>
    <row r="45" spans="2:20" ht="23.25" customHeight="1">
      <c r="C45" s="3"/>
      <c r="D45" s="3"/>
      <c r="E45" s="3"/>
      <c r="F45" s="3"/>
      <c r="G45" s="3"/>
      <c r="H45" s="3"/>
      <c r="I45" s="3"/>
      <c r="J45" s="3"/>
      <c r="K45" s="3"/>
      <c r="L45" s="3"/>
      <c r="M45" s="297"/>
      <c r="N45" s="297"/>
      <c r="O45" s="297"/>
      <c r="P45" s="297"/>
      <c r="Q45" s="297"/>
    </row>
    <row r="46" spans="2:20" s="1" customFormat="1" ht="16" customHeight="1">
      <c r="B46" s="2"/>
      <c r="C46" s="282" t="s">
        <v>90</v>
      </c>
      <c r="D46" s="282"/>
      <c r="E46" s="282"/>
      <c r="F46" s="282"/>
      <c r="G46" s="282"/>
      <c r="H46" s="282"/>
      <c r="I46" s="282"/>
      <c r="J46" s="282"/>
      <c r="K46" s="282"/>
      <c r="L46" s="282"/>
      <c r="M46" s="282"/>
      <c r="N46" s="282"/>
      <c r="O46" s="282"/>
      <c r="P46" s="282"/>
      <c r="Q46" s="282"/>
    </row>
    <row r="47" spans="2:20"/>
    <row r="48" spans="2:20">
      <c r="C48" s="16" t="s">
        <v>91</v>
      </c>
      <c r="I48" s="23">
        <f>'Step 1. Hospital Baseline'!I65</f>
        <v>0</v>
      </c>
      <c r="K48" s="23">
        <f>'Step 1. Hospital Baseline'!K65</f>
        <v>0</v>
      </c>
      <c r="M48" t="s">
        <v>92</v>
      </c>
      <c r="O48" s="24"/>
    </row>
    <row r="49" spans="3:11">
      <c r="C49" s="16" t="s">
        <v>93</v>
      </c>
      <c r="I49" s="23">
        <f>I44</f>
        <v>0</v>
      </c>
      <c r="K49" s="23">
        <f>K44</f>
        <v>0</v>
      </c>
    </row>
    <row r="50" spans="3:11">
      <c r="C50" s="16"/>
    </row>
    <row r="51" spans="3:11" ht="15" customHeight="1">
      <c r="C51" s="296" t="s">
        <v>94</v>
      </c>
      <c r="D51" s="296"/>
      <c r="E51" s="296"/>
      <c r="I51" s="23">
        <f>SUM(I48:I49)</f>
        <v>0</v>
      </c>
      <c r="K51" s="23">
        <f>SUM(K48:K49)</f>
        <v>0</v>
      </c>
    </row>
    <row r="52" spans="3:11">
      <c r="C52" s="56"/>
      <c r="D52" s="56"/>
      <c r="E52" s="56"/>
    </row>
    <row r="53" spans="3:11">
      <c r="C53" s="31" t="s">
        <v>0</v>
      </c>
    </row>
    <row r="54" spans="3:11"/>
  </sheetData>
  <sheetProtection algorithmName="SHA-512" hashValue="Uqm35AYx6662akWCfZkn2fj46F4NNG/RM9PuaEM6kt1rJolroOyI/3P7+l/36bF26jQLVIGt1EA8UoaXH6XB0w==" saltValue="wJO4kGymxI59L87iLDMYhQ==" spinCount="100000" sheet="1" objects="1" scenarios="1"/>
  <mergeCells count="20">
    <mergeCell ref="C46:Q46"/>
    <mergeCell ref="C51:E51"/>
    <mergeCell ref="M36:Q36"/>
    <mergeCell ref="M38:Q38"/>
    <mergeCell ref="M42:Q42"/>
    <mergeCell ref="M44:Q45"/>
    <mergeCell ref="M33:Q34"/>
    <mergeCell ref="C32:F32"/>
    <mergeCell ref="C26:F26"/>
    <mergeCell ref="M26:Q26"/>
    <mergeCell ref="C4:Q4"/>
    <mergeCell ref="C13:Q13"/>
    <mergeCell ref="M11:Q11"/>
    <mergeCell ref="C5:Q5"/>
    <mergeCell ref="C19:E19"/>
    <mergeCell ref="C30:E30"/>
    <mergeCell ref="M15:Q21"/>
    <mergeCell ref="C17:E17"/>
    <mergeCell ref="C24:F24"/>
    <mergeCell ref="M23:Q24"/>
  </mergeCells>
  <phoneticPr fontId="21"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F7AD-2E05-42E1-9959-D8A1F8165FB8}">
  <sheetPr>
    <tabColor theme="7" tint="0.59999389629810485"/>
  </sheetPr>
  <dimension ref="A1:T64"/>
  <sheetViews>
    <sheetView showGridLines="0" topLeftCell="A11" zoomScale="85" zoomScaleNormal="85" workbookViewId="0">
      <selection activeCell="M21" sqref="M21:Q25"/>
    </sheetView>
  </sheetViews>
  <sheetFormatPr defaultColWidth="0" defaultRowHeight="14.5" zeroHeight="1"/>
  <cols>
    <col min="1" max="1" width="1.453125" customWidth="1"/>
    <col min="2" max="2" width="3.54296875" customWidth="1"/>
    <col min="3" max="3" width="33.54296875" customWidth="1"/>
    <col min="4" max="4" width="17.54296875" customWidth="1"/>
    <col min="5" max="5" width="49.453125" customWidth="1"/>
    <col min="6" max="6" width="8" customWidth="1"/>
    <col min="7" max="7" width="9" customWidth="1"/>
    <col min="8" max="8" width="1.1796875" customWidth="1"/>
    <col min="9" max="9" width="20.1796875" customWidth="1"/>
    <col min="10" max="10" width="1.453125" customWidth="1"/>
    <col min="11" max="11" width="20.1796875" customWidth="1"/>
    <col min="12" max="12" width="1.1796875" customWidth="1"/>
    <col min="13" max="13" width="7.54296875" customWidth="1"/>
    <col min="14" max="14" width="9" bestFit="1" customWidth="1"/>
    <col min="15" max="15" width="22" customWidth="1"/>
    <col min="16" max="16" width="13.81640625" customWidth="1"/>
    <col min="17" max="17" width="21.54296875" customWidth="1"/>
    <col min="18" max="18" width="9.1796875" customWidth="1"/>
    <col min="19" max="19" width="42.7265625" hidden="1" customWidth="1"/>
    <col min="20" max="20" width="0" hidden="1" customWidth="1"/>
    <col min="21" max="16384" width="9.1796875" hidden="1"/>
  </cols>
  <sheetData>
    <row r="1" spans="2:17" ht="15" thickBot="1"/>
    <row r="2" spans="2:17" ht="61.5" customHeight="1" thickBot="1">
      <c r="C2" s="18" t="s">
        <v>1</v>
      </c>
      <c r="D2" s="19"/>
      <c r="E2" s="19"/>
      <c r="F2" s="19"/>
      <c r="G2" s="19"/>
      <c r="H2" s="19"/>
      <c r="I2" s="19"/>
      <c r="J2" s="19"/>
      <c r="K2" s="19"/>
      <c r="L2" s="19"/>
      <c r="M2" s="19"/>
      <c r="N2" s="19"/>
      <c r="O2" s="19"/>
      <c r="P2" s="19"/>
      <c r="Q2" s="20"/>
    </row>
    <row r="3" spans="2:17"/>
    <row r="4" spans="2:17" s="4" customFormat="1" ht="18" customHeight="1">
      <c r="C4" s="276" t="s">
        <v>410</v>
      </c>
      <c r="D4" s="277"/>
      <c r="E4" s="277"/>
      <c r="F4" s="277"/>
      <c r="G4" s="277"/>
      <c r="H4" s="277"/>
      <c r="I4" s="277"/>
      <c r="J4" s="277"/>
      <c r="K4" s="277"/>
      <c r="L4" s="277"/>
      <c r="M4" s="277"/>
      <c r="N4" s="277"/>
      <c r="O4" s="277"/>
      <c r="P4" s="277"/>
      <c r="Q4" s="278"/>
    </row>
    <row r="5" spans="2:17" ht="120" customHeight="1">
      <c r="B5" s="2"/>
      <c r="C5" s="293" t="s">
        <v>411</v>
      </c>
      <c r="D5" s="293"/>
      <c r="E5" s="293"/>
      <c r="F5" s="293"/>
      <c r="G5" s="293"/>
      <c r="H5" s="293"/>
      <c r="I5" s="293"/>
      <c r="J5" s="293"/>
      <c r="K5" s="293"/>
      <c r="L5" s="293"/>
      <c r="M5" s="293"/>
      <c r="N5" s="293"/>
      <c r="O5" s="293"/>
      <c r="P5" s="293"/>
      <c r="Q5" s="294"/>
    </row>
    <row r="6" spans="2:17" ht="15" customHeight="1">
      <c r="B6" s="228"/>
      <c r="C6" s="229"/>
      <c r="D6" s="229"/>
      <c r="E6" s="229"/>
      <c r="F6" s="229"/>
      <c r="G6" s="229"/>
      <c r="H6" s="229"/>
      <c r="I6" s="229"/>
      <c r="J6" s="229"/>
      <c r="K6" s="229"/>
      <c r="L6" s="229"/>
      <c r="M6" s="229"/>
      <c r="N6" s="229"/>
      <c r="O6" s="229"/>
      <c r="P6" s="229"/>
      <c r="Q6" s="229"/>
    </row>
    <row r="7" spans="2:17" s="1" customFormat="1" ht="16" customHeight="1">
      <c r="B7" s="2"/>
      <c r="C7" s="225" t="s">
        <v>65</v>
      </c>
      <c r="D7" s="74"/>
      <c r="E7" s="74"/>
      <c r="F7" s="74"/>
      <c r="G7" s="74"/>
      <c r="H7" s="74"/>
      <c r="I7" s="226" t="s">
        <v>32</v>
      </c>
      <c r="J7" s="230"/>
      <c r="K7" s="226" t="s">
        <v>33</v>
      </c>
      <c r="L7" s="230"/>
      <c r="M7" s="273" t="s">
        <v>34</v>
      </c>
      <c r="N7" s="273"/>
      <c r="O7" s="273"/>
      <c r="P7" s="273"/>
      <c r="Q7" s="274"/>
    </row>
    <row r="8" spans="2:17" ht="8.5" customHeight="1">
      <c r="B8" s="2"/>
    </row>
    <row r="9" spans="2:17" ht="30" customHeight="1">
      <c r="B9" s="2"/>
      <c r="C9" s="133" t="s">
        <v>26</v>
      </c>
    </row>
    <row r="10" spans="2:17" ht="7" customHeight="1">
      <c r="B10" s="2"/>
      <c r="C10" s="119"/>
    </row>
    <row r="11" spans="2:17" ht="30" customHeight="1">
      <c r="B11" s="2"/>
      <c r="C11" s="134" t="s">
        <v>27</v>
      </c>
    </row>
    <row r="12" spans="2:17" ht="13.5" customHeight="1">
      <c r="B12" s="2"/>
    </row>
    <row r="13" spans="2:17" s="1" customFormat="1" ht="16" customHeight="1">
      <c r="B13" s="2"/>
      <c r="C13" s="282" t="s">
        <v>95</v>
      </c>
      <c r="D13" s="282"/>
      <c r="E13" s="282"/>
      <c r="F13" s="282"/>
      <c r="G13" s="282"/>
      <c r="H13" s="282"/>
      <c r="I13" s="282"/>
      <c r="J13" s="282"/>
      <c r="K13" s="282"/>
      <c r="L13" s="282"/>
      <c r="M13" s="282"/>
      <c r="N13" s="282"/>
      <c r="O13" s="282"/>
      <c r="P13" s="282"/>
      <c r="Q13" s="282"/>
    </row>
    <row r="14" spans="2:17" ht="36.75" customHeight="1">
      <c r="C14" s="231" t="s">
        <v>96</v>
      </c>
      <c r="D14" s="3"/>
      <c r="E14" s="3"/>
      <c r="F14" s="3"/>
      <c r="G14" s="3"/>
      <c r="H14" s="3"/>
      <c r="I14" s="3"/>
      <c r="J14" s="3"/>
      <c r="K14" s="3"/>
      <c r="L14" s="3"/>
      <c r="M14" s="300" t="s">
        <v>97</v>
      </c>
      <c r="N14" s="300"/>
      <c r="O14" s="300"/>
      <c r="P14" s="300"/>
      <c r="Q14" s="300"/>
    </row>
    <row r="15" spans="2:17" s="4" customFormat="1" ht="30" customHeight="1">
      <c r="C15" s="299" t="s">
        <v>98</v>
      </c>
      <c r="D15" s="299"/>
      <c r="E15" s="299"/>
      <c r="I15" s="49">
        <v>0.02</v>
      </c>
      <c r="K15" s="49">
        <v>0.02</v>
      </c>
      <c r="M15" s="300"/>
      <c r="N15" s="300"/>
      <c r="O15" s="300"/>
      <c r="P15" s="300"/>
      <c r="Q15" s="300"/>
    </row>
    <row r="16" spans="2:17" s="4" customFormat="1" ht="9.75" customHeight="1">
      <c r="C16" s="298"/>
      <c r="D16" s="298"/>
      <c r="E16" s="298"/>
      <c r="M16" s="147"/>
      <c r="N16" s="147"/>
      <c r="O16" s="147"/>
      <c r="P16" s="147"/>
      <c r="Q16" s="147"/>
    </row>
    <row r="17" spans="2:20" s="4" customFormat="1" ht="4" customHeight="1">
      <c r="M17" s="147"/>
      <c r="N17" s="147"/>
      <c r="O17" s="147"/>
      <c r="P17" s="147"/>
      <c r="Q17" s="147"/>
    </row>
    <row r="18" spans="2:20" ht="6" customHeight="1"/>
    <row r="19" spans="2:20" s="1" customFormat="1" ht="18.649999999999999" customHeight="1">
      <c r="B19" s="2"/>
      <c r="C19" s="282" t="s">
        <v>99</v>
      </c>
      <c r="D19" s="282"/>
      <c r="E19" s="282"/>
      <c r="F19" s="282"/>
      <c r="G19" s="282"/>
      <c r="H19" s="282"/>
      <c r="I19" s="282"/>
      <c r="J19" s="282"/>
      <c r="K19" s="282"/>
      <c r="L19" s="282"/>
      <c r="M19" s="282"/>
      <c r="N19" s="282"/>
      <c r="O19" s="282"/>
      <c r="P19" s="282"/>
      <c r="Q19" s="282"/>
    </row>
    <row r="20" spans="2:20" ht="29.5" customHeight="1">
      <c r="C20" s="231" t="s">
        <v>100</v>
      </c>
    </row>
    <row r="21" spans="2:20" s="4" customFormat="1" ht="30" customHeight="1">
      <c r="C21" s="266" t="s">
        <v>101</v>
      </c>
      <c r="D21" s="303"/>
      <c r="E21" s="303"/>
      <c r="G21" s="8" t="s">
        <v>102</v>
      </c>
      <c r="H21" s="8"/>
      <c r="I21" s="304"/>
      <c r="J21" s="304"/>
      <c r="K21" s="304"/>
      <c r="M21" s="266" t="s">
        <v>103</v>
      </c>
      <c r="N21" s="266"/>
      <c r="O21" s="266"/>
      <c r="P21" s="266"/>
      <c r="Q21" s="266"/>
    </row>
    <row r="22" spans="2:20" s="4" customFormat="1" ht="5.15" customHeight="1">
      <c r="C22" s="266"/>
      <c r="D22" s="303"/>
      <c r="E22" s="303"/>
      <c r="G22" s="8"/>
      <c r="H22" s="8"/>
      <c r="I22" s="37"/>
      <c r="J22" s="37"/>
      <c r="K22" s="37"/>
      <c r="M22" s="266"/>
      <c r="N22" s="266"/>
      <c r="O22" s="266"/>
      <c r="P22" s="266"/>
      <c r="Q22" s="266"/>
    </row>
    <row r="23" spans="2:20" s="4" customFormat="1" ht="30" customHeight="1">
      <c r="C23" s="303"/>
      <c r="D23" s="303"/>
      <c r="E23" s="303"/>
      <c r="G23" s="8" t="s">
        <v>104</v>
      </c>
      <c r="H23" s="8"/>
      <c r="I23" s="304"/>
      <c r="J23" s="304"/>
      <c r="K23" s="304"/>
      <c r="M23" s="266"/>
      <c r="N23" s="266"/>
      <c r="O23" s="266"/>
      <c r="P23" s="266"/>
      <c r="Q23" s="266"/>
    </row>
    <row r="24" spans="2:20" s="4" customFormat="1" ht="5.15" customHeight="1">
      <c r="C24" s="303"/>
      <c r="D24" s="303"/>
      <c r="E24" s="303"/>
      <c r="G24" s="8"/>
      <c r="H24" s="8"/>
      <c r="I24"/>
      <c r="J24"/>
      <c r="K24"/>
      <c r="M24" s="266"/>
      <c r="N24" s="266"/>
      <c r="O24" s="266"/>
      <c r="P24" s="266"/>
      <c r="Q24" s="266"/>
    </row>
    <row r="25" spans="2:20" s="4" customFormat="1" ht="30" customHeight="1">
      <c r="C25" s="303"/>
      <c r="D25" s="303"/>
      <c r="E25" s="303"/>
      <c r="G25" s="8" t="s">
        <v>105</v>
      </c>
      <c r="H25" s="8"/>
      <c r="I25" s="304"/>
      <c r="J25" s="304"/>
      <c r="K25" s="304"/>
      <c r="M25" s="266"/>
      <c r="N25" s="266"/>
      <c r="O25" s="266"/>
      <c r="P25" s="266"/>
      <c r="Q25" s="266"/>
    </row>
    <row r="26" spans="2:20"/>
    <row r="27" spans="2:20" ht="8.25" customHeight="1">
      <c r="C27" s="7"/>
    </row>
    <row r="28" spans="2:20" s="4" customFormat="1" ht="30" customHeight="1">
      <c r="C28" s="275" t="s">
        <v>106</v>
      </c>
      <c r="D28" s="301"/>
      <c r="E28" s="301"/>
      <c r="G28" s="8" t="str">
        <f>IF(ISBLANK(I21),"",I21)</f>
        <v/>
      </c>
      <c r="H28" s="9"/>
      <c r="I28" s="302"/>
      <c r="J28" s="302"/>
      <c r="K28" s="302"/>
      <c r="M28" s="266" t="s">
        <v>107</v>
      </c>
      <c r="N28" s="266"/>
      <c r="O28" s="266"/>
      <c r="P28" s="266"/>
      <c r="Q28" s="266"/>
      <c r="T28" s="7"/>
    </row>
    <row r="29" spans="2:20" s="4" customFormat="1" ht="5.15" customHeight="1">
      <c r="C29" s="275"/>
      <c r="D29" s="301"/>
      <c r="E29" s="301"/>
      <c r="G29" s="8"/>
      <c r="H29" s="9"/>
      <c r="I29"/>
      <c r="J29"/>
      <c r="K29"/>
      <c r="M29" s="266"/>
      <c r="N29" s="266"/>
      <c r="O29" s="266"/>
      <c r="P29" s="266"/>
      <c r="Q29" s="266"/>
      <c r="T29" s="7"/>
    </row>
    <row r="30" spans="2:20" s="4" customFormat="1" ht="30" customHeight="1">
      <c r="C30" s="301"/>
      <c r="D30" s="301"/>
      <c r="E30" s="301"/>
      <c r="G30" s="8" t="str">
        <f>IF(ISBLANK(I23),"",I23)</f>
        <v/>
      </c>
      <c r="H30" s="9"/>
      <c r="I30" s="302"/>
      <c r="J30" s="302"/>
      <c r="K30" s="302"/>
      <c r="M30" s="266"/>
      <c r="N30" s="266"/>
      <c r="O30" s="266"/>
      <c r="P30" s="266"/>
      <c r="Q30" s="266"/>
      <c r="S30" s="28"/>
    </row>
    <row r="31" spans="2:20" s="4" customFormat="1" ht="5.15" customHeight="1">
      <c r="C31" s="301"/>
      <c r="D31" s="301"/>
      <c r="E31" s="301"/>
      <c r="G31" s="8"/>
      <c r="H31" s="9"/>
      <c r="I31"/>
      <c r="J31"/>
      <c r="K31"/>
      <c r="M31" s="266"/>
      <c r="N31" s="266"/>
      <c r="O31" s="266"/>
      <c r="P31" s="266"/>
      <c r="Q31" s="266"/>
      <c r="S31" s="28"/>
    </row>
    <row r="32" spans="2:20" s="4" customFormat="1" ht="30" customHeight="1">
      <c r="C32" s="301"/>
      <c r="D32" s="301"/>
      <c r="E32" s="301"/>
      <c r="G32" s="8" t="str">
        <f>IF(ISBLANK(I25),"",I25)</f>
        <v/>
      </c>
      <c r="H32" s="9"/>
      <c r="I32" s="302"/>
      <c r="J32" s="302"/>
      <c r="K32" s="302"/>
      <c r="M32" s="266"/>
      <c r="N32" s="266"/>
      <c r="O32" s="266"/>
      <c r="P32" s="266"/>
      <c r="Q32" s="266"/>
    </row>
    <row r="33" spans="3:19"/>
    <row r="34" spans="3:19" ht="9.75" customHeight="1">
      <c r="C34" s="286"/>
      <c r="D34" s="286"/>
      <c r="E34" s="286"/>
      <c r="M34" s="305" t="s">
        <v>108</v>
      </c>
      <c r="N34" s="305"/>
      <c r="O34" s="305"/>
      <c r="P34" s="305"/>
      <c r="Q34" s="305"/>
      <c r="S34" s="266" t="s">
        <v>109</v>
      </c>
    </row>
    <row r="35" spans="3:19" s="4" customFormat="1" ht="30" customHeight="1">
      <c r="C35" s="295" t="s">
        <v>110</v>
      </c>
      <c r="D35" s="295"/>
      <c r="E35" s="295"/>
      <c r="G35" s="8" t="str">
        <f>IF(ISBLANK(I21),"",I21)</f>
        <v/>
      </c>
      <c r="H35" s="9"/>
      <c r="I35" s="306"/>
      <c r="J35" s="306"/>
      <c r="K35" s="306"/>
      <c r="M35" s="305"/>
      <c r="N35" s="305"/>
      <c r="O35" s="305"/>
      <c r="P35" s="305"/>
      <c r="Q35" s="305"/>
      <c r="S35" s="303"/>
    </row>
    <row r="36" spans="3:19" s="4" customFormat="1" ht="5.15" customHeight="1">
      <c r="C36" s="295"/>
      <c r="D36" s="295"/>
      <c r="E36" s="295"/>
      <c r="G36" s="8"/>
      <c r="H36" s="9"/>
      <c r="I36"/>
      <c r="J36"/>
      <c r="K36"/>
      <c r="M36" s="305"/>
      <c r="N36" s="305"/>
      <c r="O36" s="305"/>
      <c r="P36" s="305"/>
      <c r="Q36" s="305"/>
      <c r="S36" s="303"/>
    </row>
    <row r="37" spans="3:19" s="4" customFormat="1" ht="30" customHeight="1">
      <c r="C37" s="295"/>
      <c r="D37" s="295"/>
      <c r="E37" s="295"/>
      <c r="G37" s="8" t="str">
        <f>IF(ISBLANK(I23),"",I23)</f>
        <v/>
      </c>
      <c r="H37" s="9"/>
      <c r="I37" s="306"/>
      <c r="J37" s="306"/>
      <c r="K37" s="306"/>
      <c r="M37" s="305"/>
      <c r="N37" s="305"/>
      <c r="O37" s="305"/>
      <c r="P37" s="305"/>
      <c r="Q37" s="305"/>
      <c r="S37" s="303"/>
    </row>
    <row r="38" spans="3:19" s="4" customFormat="1" ht="5.15" customHeight="1">
      <c r="C38" s="295"/>
      <c r="D38" s="295"/>
      <c r="E38" s="295"/>
      <c r="G38" s="8"/>
      <c r="H38" s="9"/>
      <c r="I38"/>
      <c r="J38"/>
      <c r="K38"/>
      <c r="M38" s="305"/>
      <c r="N38" s="305"/>
      <c r="O38" s="305"/>
      <c r="P38" s="305"/>
      <c r="Q38" s="305"/>
      <c r="S38" s="303"/>
    </row>
    <row r="39" spans="3:19" s="4" customFormat="1" ht="30" customHeight="1">
      <c r="C39" s="295"/>
      <c r="D39" s="295"/>
      <c r="E39" s="295"/>
      <c r="G39" s="8" t="str">
        <f>IF(ISBLANK(I25),"",I25)</f>
        <v/>
      </c>
      <c r="H39" s="9"/>
      <c r="I39" s="306"/>
      <c r="J39" s="306"/>
      <c r="K39" s="306"/>
      <c r="M39" s="305"/>
      <c r="N39" s="305"/>
      <c r="O39" s="305"/>
      <c r="P39" s="305"/>
      <c r="Q39" s="305"/>
      <c r="S39" s="303"/>
    </row>
    <row r="40" spans="3:19">
      <c r="C40" s="135"/>
      <c r="D40" s="135"/>
      <c r="E40" s="135"/>
    </row>
    <row r="41" spans="3:19">
      <c r="C41" s="231" t="s">
        <v>111</v>
      </c>
    </row>
    <row r="42" spans="3:19" ht="7.5" customHeight="1">
      <c r="M42" s="10"/>
      <c r="N42" s="10"/>
      <c r="O42" s="10"/>
      <c r="P42" s="10"/>
      <c r="Q42" s="10"/>
    </row>
    <row r="43" spans="3:19" s="4" customFormat="1" ht="30" customHeight="1">
      <c r="C43" s="7" t="s">
        <v>112</v>
      </c>
      <c r="G43" s="8" t="str">
        <f>IF(ISBLANK(I21),"",I21)</f>
        <v/>
      </c>
      <c r="H43" s="9"/>
      <c r="I43" s="307" cm="1">
        <f t="array" ref="I43">I28*IFERROR(_xlfn.XLOOKUP(I35,Dropdowns!$A$56:A60,Dropdowns!$B$56:B60),I35)</f>
        <v>0</v>
      </c>
      <c r="J43" s="307"/>
      <c r="K43" s="307"/>
      <c r="M43" s="266" t="s">
        <v>113</v>
      </c>
      <c r="N43" s="266"/>
      <c r="O43" s="266"/>
      <c r="P43" s="266"/>
      <c r="Q43" s="266"/>
    </row>
    <row r="44" spans="3:19" s="4" customFormat="1" ht="5.15" customHeight="1">
      <c r="C44" s="7"/>
      <c r="G44" s="8"/>
      <c r="H44" s="9"/>
      <c r="I44"/>
      <c r="J44"/>
      <c r="K44"/>
      <c r="M44" s="266"/>
      <c r="N44" s="266"/>
      <c r="O44" s="266"/>
      <c r="P44" s="266"/>
      <c r="Q44" s="266"/>
    </row>
    <row r="45" spans="3:19" s="4" customFormat="1" ht="30" customHeight="1">
      <c r="C45" s="7" t="s">
        <v>114</v>
      </c>
      <c r="G45" s="8" t="str">
        <f>IF(ISBLANK(I23),"",I23)</f>
        <v/>
      </c>
      <c r="H45" s="9"/>
      <c r="I45" s="307" cm="1">
        <f t="array" ref="I45">I30*IFERROR(_xlfn.XLOOKUP(I37,Dropdowns!$A$56:A61,Dropdowns!$B$56:B61),I37)</f>
        <v>0</v>
      </c>
      <c r="J45" s="307"/>
      <c r="K45" s="307"/>
      <c r="M45" s="266"/>
      <c r="N45" s="266"/>
      <c r="O45" s="266"/>
      <c r="P45" s="266"/>
      <c r="Q45" s="266"/>
    </row>
    <row r="46" spans="3:19" s="4" customFormat="1" ht="5.15" customHeight="1">
      <c r="C46" s="7"/>
      <c r="G46" s="8"/>
      <c r="H46" s="9"/>
      <c r="I46"/>
      <c r="J46"/>
      <c r="K46"/>
      <c r="M46" s="266"/>
      <c r="N46" s="266"/>
      <c r="O46" s="266"/>
      <c r="P46" s="266"/>
      <c r="Q46" s="266"/>
    </row>
    <row r="47" spans="3:19" s="4" customFormat="1" ht="33" customHeight="1">
      <c r="C47" s="7" t="s">
        <v>115</v>
      </c>
      <c r="G47" s="8" t="str">
        <f>IF(ISBLANK(I25),"",I25)</f>
        <v/>
      </c>
      <c r="H47" s="9"/>
      <c r="I47" s="307" cm="1">
        <f t="array" ref="I47">I32*IFERROR(_xlfn.XLOOKUP(I39,Dropdowns!$A$56:A62,Dropdowns!$B$56:B62),I39)</f>
        <v>0</v>
      </c>
      <c r="J47" s="307"/>
      <c r="K47" s="307"/>
      <c r="M47" s="266"/>
      <c r="N47" s="266"/>
      <c r="O47" s="266"/>
      <c r="P47" s="266"/>
      <c r="Q47" s="266"/>
    </row>
    <row r="48" spans="3:19"/>
    <row r="49" spans="2:17" ht="30" customHeight="1">
      <c r="C49" s="286" t="s">
        <v>116</v>
      </c>
      <c r="D49" s="286"/>
      <c r="E49" s="286"/>
      <c r="I49" s="308">
        <f>SUM(I43:I47)</f>
        <v>0</v>
      </c>
      <c r="J49" s="308"/>
      <c r="K49" s="308"/>
    </row>
    <row r="50" spans="2:17">
      <c r="C50" s="286"/>
      <c r="D50" s="286"/>
      <c r="E50" s="286"/>
    </row>
    <row r="51" spans="2:17">
      <c r="C51" s="54"/>
      <c r="D51" s="54"/>
      <c r="E51" s="54"/>
    </row>
    <row r="52" spans="2:17">
      <c r="C52" s="53"/>
      <c r="D52" s="53"/>
      <c r="E52" s="53"/>
      <c r="F52" s="53"/>
      <c r="G52" s="53"/>
      <c r="I52" s="53"/>
      <c r="J52" s="53"/>
      <c r="K52" s="53"/>
      <c r="L52" s="55"/>
      <c r="M52" s="55"/>
      <c r="N52" s="55"/>
      <c r="O52" s="55"/>
      <c r="P52" s="55"/>
    </row>
    <row r="53" spans="2:17" s="1" customFormat="1" ht="16" customHeight="1">
      <c r="B53" s="2"/>
      <c r="C53" s="282" t="s">
        <v>117</v>
      </c>
      <c r="D53" s="282"/>
      <c r="E53" s="282"/>
      <c r="F53" s="282"/>
      <c r="G53" s="282"/>
      <c r="H53" s="282"/>
      <c r="I53" s="282"/>
      <c r="J53" s="282"/>
      <c r="K53" s="282"/>
      <c r="L53" s="282"/>
      <c r="M53" s="282"/>
      <c r="N53" s="282"/>
      <c r="O53" s="282"/>
      <c r="P53" s="282"/>
      <c r="Q53" s="282"/>
    </row>
    <row r="54" spans="2:17"/>
    <row r="55" spans="2:17" ht="30" customHeight="1">
      <c r="C55" s="16" t="s">
        <v>118</v>
      </c>
      <c r="I55" s="6">
        <f>'Step 2. Volume Based Adj.'!I51</f>
        <v>0</v>
      </c>
      <c r="J55" s="4"/>
      <c r="K55" s="6">
        <f>'Step 2. Volume Based Adj.'!K51</f>
        <v>0</v>
      </c>
      <c r="M55" t="s">
        <v>119</v>
      </c>
    </row>
    <row r="56" spans="2:17" ht="5.15" customHeight="1">
      <c r="C56" s="16"/>
    </row>
    <row r="57" spans="2:17" ht="30" customHeight="1">
      <c r="C57" s="16" t="s">
        <v>120</v>
      </c>
      <c r="I57" s="171">
        <f>I15</f>
        <v>0.02</v>
      </c>
      <c r="J57" s="172"/>
      <c r="K57" s="171">
        <f>K15</f>
        <v>0.02</v>
      </c>
    </row>
    <row r="58" spans="2:17" ht="5.15" customHeight="1">
      <c r="C58" s="16"/>
    </row>
    <row r="59" spans="2:17" ht="30" customHeight="1">
      <c r="C59" s="16" t="s">
        <v>121</v>
      </c>
      <c r="I59" s="166">
        <f>I49</f>
        <v>0</v>
      </c>
      <c r="J59" s="4"/>
      <c r="K59" s="166">
        <f>I49</f>
        <v>0</v>
      </c>
    </row>
    <row r="60" spans="2:17"/>
    <row r="61" spans="2:17" ht="30" customHeight="1">
      <c r="C61" s="296" t="s">
        <v>122</v>
      </c>
      <c r="D61" s="296"/>
      <c r="E61" s="296"/>
      <c r="I61" s="22">
        <f>I55*(1+I57)*(1+I59)</f>
        <v>0</v>
      </c>
      <c r="K61" s="22">
        <f>K55*(1+K57)*(1+K59)</f>
        <v>0</v>
      </c>
    </row>
    <row r="62" spans="2:17">
      <c r="C62" s="56"/>
      <c r="D62" s="56"/>
      <c r="E62" s="56"/>
    </row>
    <row r="63" spans="2:17">
      <c r="C63" s="31" t="s">
        <v>0</v>
      </c>
    </row>
    <row r="64" spans="2:17"/>
  </sheetData>
  <sheetProtection algorithmName="SHA-512" hashValue="TL90iZ8YTtsgQcGdvxm+KbZtOhwQYNiDLhdCdD6Q/N1izv0+jppPcHevAXw3L7qezi2dryY4b7KAdGq8tR8Axw==" saltValue="foaL1qtDdBhJgw0q1iDcRw==" spinCount="100000" sheet="1" objects="1" scenarios="1"/>
  <mergeCells count="33">
    <mergeCell ref="C61:E61"/>
    <mergeCell ref="C34:E34"/>
    <mergeCell ref="M34:Q39"/>
    <mergeCell ref="S34:S39"/>
    <mergeCell ref="C35:E39"/>
    <mergeCell ref="I35:K35"/>
    <mergeCell ref="I37:K37"/>
    <mergeCell ref="I39:K39"/>
    <mergeCell ref="I43:K43"/>
    <mergeCell ref="M43:Q47"/>
    <mergeCell ref="I45:K45"/>
    <mergeCell ref="I47:K47"/>
    <mergeCell ref="C49:E50"/>
    <mergeCell ref="I49:K49"/>
    <mergeCell ref="C53:Q53"/>
    <mergeCell ref="C21:E25"/>
    <mergeCell ref="I21:K21"/>
    <mergeCell ref="M21:Q25"/>
    <mergeCell ref="I23:K23"/>
    <mergeCell ref="I25:K25"/>
    <mergeCell ref="C28:E32"/>
    <mergeCell ref="I28:K28"/>
    <mergeCell ref="M28:Q32"/>
    <mergeCell ref="I30:K30"/>
    <mergeCell ref="I32:K32"/>
    <mergeCell ref="C19:Q19"/>
    <mergeCell ref="C13:Q13"/>
    <mergeCell ref="C4:Q4"/>
    <mergeCell ref="C16:E16"/>
    <mergeCell ref="C5:Q5"/>
    <mergeCell ref="M7:Q7"/>
    <mergeCell ref="C15:E15"/>
    <mergeCell ref="M14:Q15"/>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xr:uid="{2C96AC3A-B5D9-40FA-8E1A-0D7542340F2B}">
          <x14:formula1>
            <xm:f>Dropdowns!$A$56:$A$60</xm:f>
          </x14:formula1>
          <xm:sqref>I35:K39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6573-80E9-41A8-A502-BE1D01DE07A4}">
  <sheetPr>
    <tabColor theme="8" tint="0.59999389629810485"/>
  </sheetPr>
  <dimension ref="A1:W116"/>
  <sheetViews>
    <sheetView showGridLines="0" topLeftCell="A39" zoomScale="85" zoomScaleNormal="85" workbookViewId="0">
      <selection activeCell="A4" sqref="A4:XFD4"/>
    </sheetView>
  </sheetViews>
  <sheetFormatPr defaultColWidth="0" defaultRowHeight="14.5" zeroHeight="1"/>
  <cols>
    <col min="1" max="1" width="3" customWidth="1"/>
    <col min="2" max="2" width="2.7265625" customWidth="1"/>
    <col min="3" max="3" width="41.7265625" customWidth="1"/>
    <col min="4" max="4" width="21.1796875" customWidth="1"/>
    <col min="5" max="5" width="20.1796875" customWidth="1"/>
    <col min="6" max="6" width="16.453125" customWidth="1"/>
    <col min="7" max="7" width="14.81640625" customWidth="1"/>
    <col min="8" max="8" width="7.7265625" customWidth="1"/>
    <col min="9" max="9" width="15.7265625" customWidth="1"/>
    <col min="10" max="10" width="1.7265625" customWidth="1"/>
    <col min="11" max="11" width="17.26953125" customWidth="1"/>
    <col min="12" max="12" width="2.81640625" customWidth="1"/>
    <col min="13" max="13" width="82.1796875" customWidth="1"/>
    <col min="14" max="14" width="32.81640625" customWidth="1"/>
    <col min="15" max="15" width="12.26953125" customWidth="1"/>
    <col min="16" max="16" width="11.81640625" hidden="1" customWidth="1"/>
    <col min="17" max="17" width="12.81640625" hidden="1" customWidth="1"/>
    <col min="18" max="23" width="0" hidden="1" customWidth="1"/>
    <col min="24" max="16384" width="9.1796875" hidden="1"/>
  </cols>
  <sheetData>
    <row r="1" spans="2:16" ht="15" thickBot="1"/>
    <row r="2" spans="2:16" ht="69" customHeight="1" thickBot="1">
      <c r="C2" s="18" t="s">
        <v>1</v>
      </c>
      <c r="D2" s="19"/>
      <c r="E2" s="19"/>
      <c r="F2" s="19"/>
      <c r="G2" s="19"/>
      <c r="H2" s="19"/>
      <c r="I2" s="19"/>
      <c r="J2" s="19"/>
      <c r="K2" s="19"/>
      <c r="L2" s="19"/>
      <c r="M2" s="19"/>
      <c r="N2" s="20"/>
    </row>
    <row r="3" spans="2:16"/>
    <row r="4" spans="2:16" s="4" customFormat="1" ht="18" customHeight="1">
      <c r="C4" s="290" t="s">
        <v>414</v>
      </c>
      <c r="D4" s="291"/>
      <c r="E4" s="291"/>
      <c r="F4" s="291"/>
      <c r="G4" s="291"/>
      <c r="H4" s="291"/>
      <c r="I4" s="291"/>
      <c r="J4" s="291"/>
      <c r="K4" s="291"/>
      <c r="L4" s="291"/>
      <c r="M4" s="291"/>
      <c r="N4" s="292"/>
    </row>
    <row r="5" spans="2:16" ht="190" customHeight="1">
      <c r="C5" s="336" t="s">
        <v>413</v>
      </c>
      <c r="D5" s="336"/>
      <c r="E5" s="336"/>
      <c r="F5" s="336"/>
      <c r="G5" s="336"/>
      <c r="H5" s="336"/>
      <c r="I5" s="336"/>
      <c r="J5" s="336"/>
      <c r="K5" s="336"/>
      <c r="L5" s="336"/>
      <c r="M5" s="336"/>
      <c r="N5" s="336"/>
    </row>
    <row r="6" spans="2:16" ht="15" customHeight="1">
      <c r="C6" s="229"/>
      <c r="D6" s="229"/>
      <c r="E6" s="229"/>
      <c r="F6" s="229"/>
      <c r="G6" s="229"/>
      <c r="H6" s="229"/>
      <c r="I6" s="229"/>
      <c r="J6" s="229"/>
      <c r="K6" s="229"/>
      <c r="L6" s="229"/>
      <c r="M6" s="229"/>
      <c r="N6" s="229"/>
    </row>
    <row r="7" spans="2:16" ht="16" customHeight="1">
      <c r="C7" s="225" t="s">
        <v>31</v>
      </c>
      <c r="D7" s="230"/>
      <c r="E7" s="230"/>
      <c r="F7" s="230"/>
      <c r="G7" s="230"/>
      <c r="H7" s="230"/>
      <c r="I7" s="226" t="s">
        <v>32</v>
      </c>
      <c r="J7" s="226"/>
      <c r="K7" s="226" t="s">
        <v>33</v>
      </c>
      <c r="L7" s="230"/>
      <c r="M7" s="273" t="s">
        <v>34</v>
      </c>
      <c r="N7" s="274"/>
    </row>
    <row r="8" spans="2:16" ht="6" customHeight="1">
      <c r="B8" s="2"/>
    </row>
    <row r="9" spans="2:16" ht="30" customHeight="1">
      <c r="B9" s="2"/>
      <c r="C9" s="133" t="s">
        <v>26</v>
      </c>
    </row>
    <row r="10" spans="2:16" ht="6" customHeight="1">
      <c r="B10" s="2"/>
      <c r="C10" s="119"/>
    </row>
    <row r="11" spans="2:16" ht="30" customHeight="1">
      <c r="B11" s="2"/>
      <c r="C11" s="134" t="s">
        <v>27</v>
      </c>
    </row>
    <row r="12" spans="2:16" ht="8.25" customHeight="1">
      <c r="B12" s="2"/>
    </row>
    <row r="13" spans="2:16">
      <c r="C13" s="337" t="s">
        <v>123</v>
      </c>
      <c r="D13" s="337"/>
      <c r="E13" s="337"/>
      <c r="F13" s="337"/>
      <c r="G13" s="337"/>
      <c r="H13" s="337"/>
      <c r="I13" s="337"/>
      <c r="J13" s="337"/>
      <c r="K13" s="337"/>
      <c r="L13" s="337"/>
      <c r="M13" s="337"/>
      <c r="N13" s="337"/>
    </row>
    <row r="14" spans="2:16" ht="25.5" customHeight="1">
      <c r="C14" s="231" t="s">
        <v>124</v>
      </c>
      <c r="M14" s="266" t="s">
        <v>125</v>
      </c>
      <c r="N14" s="266"/>
      <c r="P14" s="24"/>
    </row>
    <row r="15" spans="2:16" ht="12" customHeight="1">
      <c r="C15" s="286" t="s">
        <v>126</v>
      </c>
      <c r="D15" s="286"/>
      <c r="E15" s="286"/>
      <c r="M15" s="266"/>
      <c r="N15" s="266"/>
      <c r="P15" s="24"/>
    </row>
    <row r="16" spans="2:16" ht="29.25" customHeight="1">
      <c r="C16" s="286"/>
      <c r="D16" s="286"/>
      <c r="E16" s="286"/>
      <c r="I16" s="26"/>
      <c r="J16" s="26"/>
      <c r="K16" s="26"/>
      <c r="M16" s="266"/>
      <c r="N16" s="266"/>
      <c r="P16" s="24"/>
    </row>
    <row r="17" spans="3:16" ht="30" customHeight="1">
      <c r="C17" s="286"/>
      <c r="D17" s="286"/>
      <c r="E17" s="286"/>
      <c r="I17" s="304"/>
      <c r="J17" s="304"/>
      <c r="K17" s="304"/>
      <c r="M17" s="266"/>
      <c r="N17" s="266"/>
      <c r="P17" s="24"/>
    </row>
    <row r="18" spans="3:16" ht="61.5" customHeight="1">
      <c r="C18" s="286"/>
      <c r="D18" s="286"/>
      <c r="E18" s="286"/>
      <c r="I18" s="26"/>
      <c r="J18" s="26"/>
      <c r="K18" s="26"/>
      <c r="M18" s="266"/>
      <c r="N18" s="266"/>
      <c r="P18" s="24"/>
    </row>
    <row r="19" spans="3:16" ht="30" customHeight="1">
      <c r="C19" s="16" t="s">
        <v>127</v>
      </c>
      <c r="I19" s="307">
        <f>IF(I17="0-9%", 0, IF(I17="10-19%", 0, IF(I17="20-29%", 0, IF(I17="30-39%", 0, IF(I17="40-49%", 0.002, IF(I17="50-59%", 0.004, IF(I17="60-69%", 0.07, IF(I17="70-79%", 0.011, IF(I17="80-89%", 0.016, IF(I17="90-100%", 0.02, 0))))))))))</f>
        <v>0</v>
      </c>
      <c r="J19" s="307"/>
      <c r="K19" s="307"/>
      <c r="M19" s="266"/>
      <c r="P19" s="28"/>
    </row>
    <row r="20" spans="3:16" ht="13.5" customHeight="1">
      <c r="C20" s="16"/>
      <c r="M20" s="266"/>
      <c r="P20" s="28"/>
    </row>
    <row r="21" spans="3:16">
      <c r="C21" s="337" t="s">
        <v>128</v>
      </c>
      <c r="D21" s="337"/>
      <c r="E21" s="337"/>
      <c r="F21" s="337"/>
      <c r="G21" s="337"/>
      <c r="H21" s="337"/>
      <c r="I21" s="337"/>
      <c r="J21" s="337"/>
      <c r="K21" s="337"/>
      <c r="L21" s="337"/>
      <c r="M21" s="337"/>
      <c r="N21" s="337"/>
      <c r="P21" s="24"/>
    </row>
    <row r="22" spans="3:16">
      <c r="P22" s="24"/>
    </row>
    <row r="23" spans="3:16" ht="30" customHeight="1">
      <c r="C23" s="286" t="s">
        <v>129</v>
      </c>
      <c r="D23" s="286"/>
      <c r="E23" s="286"/>
      <c r="F23" s="4"/>
      <c r="G23" s="4"/>
      <c r="H23" s="4"/>
      <c r="I23" s="42">
        <f>'Step 3. Reflect FFS'!I61</f>
        <v>0</v>
      </c>
      <c r="J23" s="8"/>
      <c r="K23" s="42">
        <f>'Step 3. Reflect FFS'!K61</f>
        <v>0</v>
      </c>
      <c r="M23" s="4" t="s">
        <v>130</v>
      </c>
      <c r="P23" s="24"/>
    </row>
    <row r="24" spans="3:16">
      <c r="C24" s="54"/>
      <c r="D24" s="54"/>
      <c r="E24" s="54"/>
      <c r="F24" s="4"/>
      <c r="G24" s="4"/>
      <c r="H24" s="4"/>
      <c r="I24" s="4"/>
      <c r="J24" s="4"/>
      <c r="K24" s="4"/>
      <c r="P24" s="24"/>
    </row>
    <row r="25" spans="3:16" ht="30" customHeight="1">
      <c r="C25" s="338" t="s">
        <v>131</v>
      </c>
      <c r="D25" s="338"/>
      <c r="E25" s="338"/>
      <c r="F25" s="4"/>
      <c r="G25" s="4"/>
      <c r="H25" s="4"/>
      <c r="I25" s="89">
        <f>I23+(I23*I19)</f>
        <v>0</v>
      </c>
      <c r="J25" s="60"/>
      <c r="K25" s="89">
        <f>K23+(K23*I19)</f>
        <v>0</v>
      </c>
      <c r="P25" s="24"/>
    </row>
    <row r="26" spans="3:16"/>
    <row r="27" spans="3:16">
      <c r="C27" s="337" t="s">
        <v>132</v>
      </c>
      <c r="D27" s="337"/>
      <c r="E27" s="337"/>
      <c r="F27" s="337"/>
      <c r="G27" s="337"/>
      <c r="H27" s="337"/>
      <c r="I27" s="337"/>
      <c r="J27" s="337"/>
      <c r="K27" s="337"/>
      <c r="L27" s="337"/>
      <c r="M27" s="337"/>
      <c r="N27" s="337"/>
    </row>
    <row r="28" spans="3:16">
      <c r="I28" s="26"/>
      <c r="J28" s="26"/>
      <c r="K28" s="26"/>
    </row>
    <row r="29" spans="3:16" ht="15" customHeight="1">
      <c r="C29" s="231" t="s">
        <v>133</v>
      </c>
      <c r="M29" s="266" t="s">
        <v>134</v>
      </c>
      <c r="N29" s="266"/>
    </row>
    <row r="30" spans="3:16">
      <c r="C30" s="311" t="s">
        <v>135</v>
      </c>
      <c r="D30" s="311"/>
      <c r="E30" s="311"/>
      <c r="F30" s="311"/>
      <c r="G30" s="311"/>
      <c r="M30" s="266"/>
      <c r="N30" s="266"/>
      <c r="O30" s="24"/>
    </row>
    <row r="31" spans="3:16" ht="30" customHeight="1">
      <c r="C31" s="311"/>
      <c r="D31" s="311"/>
      <c r="E31" s="311"/>
      <c r="F31" s="311"/>
      <c r="G31" s="311"/>
      <c r="I31" s="310"/>
      <c r="J31" s="310"/>
      <c r="K31" s="310"/>
      <c r="M31" s="266"/>
      <c r="N31" s="266"/>
    </row>
    <row r="32" spans="3:16" ht="32.25" customHeight="1">
      <c r="C32" s="311"/>
      <c r="D32" s="311"/>
      <c r="E32" s="311"/>
      <c r="F32" s="311"/>
      <c r="G32" s="311"/>
      <c r="M32" s="266"/>
      <c r="N32" s="266"/>
    </row>
    <row r="33" spans="3:15" ht="30" customHeight="1">
      <c r="C33" s="335" t="s">
        <v>136</v>
      </c>
      <c r="D33" s="335"/>
      <c r="E33" s="335"/>
      <c r="F33" s="335"/>
      <c r="I33" s="334">
        <f>IF(Dropdowns!L2="MD", _xlfn.XLOOKUP(I17, Dropdowns!$A$16:$A$25, Dropdowns!$B$16:$B$25),
IF(Dropdowns!L2="RI", _xlfn.XLOOKUP(I17, Dropdowns!$A$16:$A$25, Dropdowns!$C$16:$C$25),
IF(Dropdowns!L2="VT", _xlfn.XLOOKUP(I17, Dropdowns!$A$16:$A$25, Dropdowns!$D$16:$D$25),
IF(Dropdowns!L2="CT", _xlfn.XLOOKUP(I17, Dropdowns!$A$16:$A$25, Dropdowns!$E$16:$E$25),
IF(Dropdowns!L2="NY", _xlfn.XLOOKUP(I17, Dropdowns!$A$16:$A$25, Dropdowns!$F$16:$F$25),
IF(Dropdowns!L2="HI", _xlfn.XLOOKUP(I17, Dropdowns!$A$16:$A$25, Dropdowns!$G$16:$G$25), 0))))))</f>
        <v>0</v>
      </c>
      <c r="J33" s="334"/>
      <c r="K33" s="334"/>
      <c r="M33" s="121"/>
      <c r="N33" s="99"/>
      <c r="O33" s="24"/>
    </row>
    <row r="34" spans="3:15" ht="5.15" customHeight="1">
      <c r="C34" s="98"/>
      <c r="D34" s="98"/>
      <c r="E34" s="98"/>
      <c r="I34" s="99"/>
      <c r="J34" s="99"/>
      <c r="K34" s="99"/>
      <c r="M34" s="99"/>
      <c r="N34" s="99"/>
    </row>
    <row r="35" spans="3:15" ht="30" customHeight="1">
      <c r="C35" s="311" t="s">
        <v>137</v>
      </c>
      <c r="D35" s="311"/>
      <c r="E35" s="311"/>
      <c r="F35" s="311"/>
      <c r="G35" s="311"/>
      <c r="I35" s="333">
        <f>IFERROR(IFERROR(_xlfn.XLOOKUP(I31,Dropdowns!A2:A6,Dropdowns!B2:B6)/I33,I31/I33),0)</f>
        <v>0</v>
      </c>
      <c r="J35" s="333"/>
      <c r="K35" s="333"/>
      <c r="M35" s="300" t="s">
        <v>138</v>
      </c>
      <c r="N35" s="285"/>
    </row>
    <row r="36" spans="3:15" ht="9" customHeight="1">
      <c r="C36" s="65"/>
    </row>
    <row r="37" spans="3:15" ht="18" customHeight="1">
      <c r="C37" s="231" t="s">
        <v>139</v>
      </c>
      <c r="M37" s="55"/>
      <c r="N37" s="55"/>
    </row>
    <row r="38" spans="3:15" ht="9.75" customHeight="1">
      <c r="C38" s="70"/>
      <c r="M38" s="55"/>
      <c r="N38" s="55"/>
    </row>
    <row r="39" spans="3:15" ht="30" customHeight="1">
      <c r="C39" s="341" t="s">
        <v>140</v>
      </c>
      <c r="D39" s="341"/>
      <c r="E39" s="341"/>
      <c r="F39" s="341"/>
      <c r="G39" s="341"/>
      <c r="I39" s="314" t="str">
        <f>IF(ISBLANK(I31),"",IF(IFERROR(_xlfn.XLOOKUP(I31,Dropdowns!A2:A6,Dropdowns!B2:B6),I31)&lt;Dropdowns!B9,Dropdowns!D9,IF(AND(IFERROR(_xlfn.XLOOKUP(I31,Dropdowns!A2:A6,Dropdowns!B2:B6),I31)&gt;=Dropdowns!B9,IFERROR(_xlfn.XLOOKUP(I31,Dropdowns!A2:A6,Dropdowns!B2:B6),I31)&lt;=Dropdowns!B10),Dropdowns!E9,IF(AND(IFERROR(_xlfn.XLOOKUP(I31,Dropdowns!A2:A6,Dropdowns!B2:B6),I31)&gt;=Dropdowns!B10,IFERROR(_xlfn.XLOOKUP(I31,Dropdowns!A2:A6,Dropdowns!B2:B6),I31)&lt;=Dropdowns!B11),Dropdowns!F9,Dropdowns!G9))))</f>
        <v/>
      </c>
      <c r="J39" s="314"/>
      <c r="K39" s="314"/>
      <c r="M39" s="55" t="s">
        <v>141</v>
      </c>
      <c r="N39" s="55"/>
      <c r="O39" s="138"/>
    </row>
    <row r="40" spans="3:15" ht="24.75" customHeight="1">
      <c r="C40" s="231" t="s">
        <v>142</v>
      </c>
      <c r="M40" s="285" t="s">
        <v>143</v>
      </c>
      <c r="N40" s="285"/>
    </row>
    <row r="41" spans="3:15" ht="30" customHeight="1">
      <c r="C41" s="69" t="s">
        <v>144</v>
      </c>
      <c r="D41" s="16"/>
      <c r="I41" s="340">
        <f>IF(I39="20-49%",-0.25%, IF(I39="50-79%",-0.38%, IF(I39="80-100%",-0.5%,0)))</f>
        <v>0</v>
      </c>
      <c r="J41" s="340"/>
      <c r="K41" s="340"/>
      <c r="M41" s="285"/>
      <c r="N41" s="285"/>
    </row>
    <row r="42" spans="3:15">
      <c r="C42" s="65"/>
      <c r="I42" s="26"/>
      <c r="J42" s="26"/>
      <c r="K42" s="26"/>
    </row>
    <row r="43" spans="3:15">
      <c r="C43" s="21" t="s">
        <v>145</v>
      </c>
      <c r="D43" s="14"/>
      <c r="E43" s="14"/>
      <c r="F43" s="14"/>
      <c r="G43" s="14"/>
      <c r="H43" s="14"/>
      <c r="I43" s="15"/>
      <c r="J43" s="15"/>
      <c r="K43" s="15"/>
      <c r="L43" s="14"/>
      <c r="M43" s="15"/>
      <c r="N43" s="15"/>
    </row>
    <row r="44" spans="3:15"/>
    <row r="45" spans="3:15" ht="24.75" customHeight="1">
      <c r="C45" s="231" t="s">
        <v>146</v>
      </c>
      <c r="N45" s="315" t="s">
        <v>147</v>
      </c>
    </row>
    <row r="46" spans="3:15" ht="1.5" customHeight="1">
      <c r="N46" s="316"/>
    </row>
    <row r="47" spans="3:15" ht="7.5" customHeight="1">
      <c r="C47" s="275" t="s">
        <v>148</v>
      </c>
      <c r="D47" s="275"/>
      <c r="E47" s="275"/>
      <c r="F47" s="275"/>
      <c r="G47" s="275"/>
      <c r="M47" s="275" t="s">
        <v>149</v>
      </c>
      <c r="N47" s="316"/>
    </row>
    <row r="48" spans="3:15" ht="30" customHeight="1">
      <c r="C48" s="275"/>
      <c r="D48" s="275"/>
      <c r="E48" s="275"/>
      <c r="F48" s="275"/>
      <c r="G48" s="275"/>
      <c r="I48" s="312"/>
      <c r="J48" s="312"/>
      <c r="K48" s="313"/>
      <c r="M48" s="275"/>
      <c r="N48" s="316"/>
    </row>
    <row r="49" spans="3:23">
      <c r="C49" s="275"/>
      <c r="D49" s="275"/>
      <c r="E49" s="275"/>
      <c r="F49" s="275"/>
      <c r="G49" s="275"/>
      <c r="M49" s="275"/>
      <c r="N49" s="317"/>
    </row>
    <row r="50" spans="3:23" ht="5.25" customHeight="1">
      <c r="C50" s="88"/>
      <c r="D50" s="88"/>
      <c r="E50" s="88"/>
      <c r="F50" s="88"/>
      <c r="M50" s="88"/>
      <c r="N50" s="53"/>
    </row>
    <row r="51" spans="3:23" s="24" customFormat="1" ht="30" customHeight="1">
      <c r="C51" s="275" t="s">
        <v>150</v>
      </c>
      <c r="D51" s="275"/>
      <c r="E51" s="275"/>
      <c r="F51" s="275"/>
      <c r="G51" s="3"/>
      <c r="H51" s="3"/>
      <c r="I51" s="327">
        <f>IFERROR(_xlfn.XLOOKUP(I17,'CIB Look Up Table'!B8:B17,'CIB Look Up Table'!E8:E17),0)</f>
        <v>0</v>
      </c>
      <c r="J51" s="327"/>
      <c r="K51" s="344"/>
      <c r="M51" s="285" t="s">
        <v>151</v>
      </c>
      <c r="N51" s="285"/>
      <c r="P51" s="127"/>
      <c r="Q51" s="127"/>
      <c r="R51" s="127"/>
      <c r="S51" s="127"/>
      <c r="T51" s="127"/>
      <c r="U51" s="127"/>
      <c r="V51" s="127"/>
      <c r="W51" s="127"/>
    </row>
    <row r="52" spans="3:23" ht="12.75" customHeight="1">
      <c r="C52" s="27"/>
      <c r="D52" s="27"/>
      <c r="E52" s="27"/>
      <c r="M52" s="285"/>
      <c r="N52" s="285"/>
      <c r="P52" s="27"/>
      <c r="Q52" s="27"/>
      <c r="R52" s="27"/>
      <c r="S52" s="27"/>
      <c r="T52" s="27"/>
      <c r="U52" s="27"/>
      <c r="V52" s="27"/>
      <c r="W52" s="27"/>
    </row>
    <row r="53" spans="3:23" ht="30" customHeight="1">
      <c r="C53" s="65" t="s">
        <v>152</v>
      </c>
      <c r="I53" s="339">
        <f>-1*(IFERROR(_xlfn.XLOOKUP(I48,Dropdowns!A28:A32,Dropdowns!B28:B32),I48)*I51)</f>
        <v>0</v>
      </c>
      <c r="J53" s="339"/>
      <c r="K53" s="333"/>
      <c r="P53" s="27"/>
      <c r="Q53" s="27"/>
      <c r="R53" s="27"/>
      <c r="S53" s="27"/>
      <c r="T53" s="27"/>
      <c r="U53" s="27"/>
      <c r="V53" s="27"/>
      <c r="W53" s="27"/>
    </row>
    <row r="54" spans="3:23" ht="24" customHeight="1">
      <c r="C54" s="65"/>
      <c r="M54" s="55"/>
      <c r="N54" s="55"/>
      <c r="P54" s="27"/>
      <c r="Q54" s="27"/>
      <c r="R54" s="27"/>
      <c r="S54" s="27"/>
      <c r="T54" s="27"/>
      <c r="U54" s="27"/>
      <c r="V54" s="27"/>
      <c r="W54" s="27"/>
    </row>
    <row r="55" spans="3:23" ht="30" customHeight="1">
      <c r="C55" s="71" t="s">
        <v>153</v>
      </c>
      <c r="I55" s="321">
        <f>IF(I53&lt;0.02%,0%,IF(I53&lt;0.04%,0.03%,IF(I53&lt;0.06%,0.05%,IF(I53&lt;0.08%,0.08%,IF(I53&lt;0.1%,0.1%,IF(I53&lt;0.12%,0.13%,IF(I53&lt;0.14%,0.15%,IF(I53&lt;0.16%,0.18%,IF(I53&lt;0.18%,0.2%,IF(I53&lt;0.2%,0.23%,IF(I53&gt;0.2%,0.25%,"Error")))))))))))</f>
        <v>0</v>
      </c>
      <c r="J55" s="322"/>
      <c r="K55" s="323"/>
      <c r="M55" s="55" t="s">
        <v>154</v>
      </c>
      <c r="N55" s="55"/>
      <c r="P55" s="27"/>
      <c r="Q55" s="27"/>
      <c r="R55" s="27"/>
      <c r="S55" s="27"/>
      <c r="T55" s="27"/>
      <c r="U55" s="27"/>
      <c r="V55" s="27"/>
      <c r="W55" s="27"/>
    </row>
    <row r="56" spans="3:23" ht="9" customHeight="1">
      <c r="C56" s="69"/>
      <c r="M56" s="55"/>
      <c r="N56" s="55"/>
      <c r="P56" s="27"/>
      <c r="Q56" s="27"/>
      <c r="R56" s="27"/>
      <c r="S56" s="27"/>
      <c r="T56" s="27"/>
      <c r="U56" s="27"/>
      <c r="V56" s="27"/>
      <c r="W56" s="27"/>
    </row>
    <row r="57" spans="3:23" ht="46.5" customHeight="1">
      <c r="C57" s="231" t="s">
        <v>155</v>
      </c>
      <c r="M57" s="300" t="s">
        <v>156</v>
      </c>
      <c r="N57" s="315" t="s">
        <v>157</v>
      </c>
      <c r="P57" s="27"/>
      <c r="Q57" s="27"/>
      <c r="R57" s="27"/>
      <c r="S57" s="27"/>
      <c r="T57" s="27"/>
      <c r="U57" s="27"/>
      <c r="V57" s="27"/>
      <c r="W57" s="27"/>
    </row>
    <row r="58" spans="3:23" ht="30" customHeight="1">
      <c r="C58" s="266" t="s">
        <v>158</v>
      </c>
      <c r="D58" s="266"/>
      <c r="E58" s="266"/>
      <c r="F58" s="266"/>
      <c r="G58" s="266"/>
      <c r="I58" s="324"/>
      <c r="J58" s="325"/>
      <c r="K58" s="326"/>
      <c r="M58" s="300"/>
      <c r="N58" s="316"/>
      <c r="P58" s="27"/>
      <c r="Q58" s="27"/>
      <c r="R58" s="27"/>
      <c r="S58" s="27"/>
      <c r="T58" s="27"/>
      <c r="U58" s="27"/>
      <c r="V58" s="27"/>
      <c r="W58" s="27"/>
    </row>
    <row r="59" spans="3:23" ht="25.5" customHeight="1">
      <c r="C59" s="266"/>
      <c r="D59" s="266"/>
      <c r="E59" s="266"/>
      <c r="F59" s="266"/>
      <c r="G59" s="266"/>
      <c r="M59" s="99"/>
      <c r="N59" s="317"/>
      <c r="P59" s="27"/>
      <c r="Q59" s="27"/>
      <c r="R59" s="27"/>
      <c r="S59" s="27"/>
      <c r="T59" s="27"/>
      <c r="U59" s="27"/>
      <c r="V59" s="27"/>
      <c r="W59" s="27"/>
    </row>
    <row r="60" spans="3:23" ht="30" customHeight="1">
      <c r="C60" s="286" t="s">
        <v>159</v>
      </c>
      <c r="D60" s="286"/>
      <c r="E60" s="286"/>
      <c r="F60" s="286"/>
      <c r="I60" s="327">
        <f>IFERROR(_xlfn.XLOOKUP(I17,'CIB Look Up Table'!B8:B17,'CIB Look Up Table'!E8:E17),0)</f>
        <v>0</v>
      </c>
      <c r="J60" s="328"/>
      <c r="K60" s="329"/>
      <c r="M60" s="77"/>
      <c r="N60" s="55"/>
    </row>
    <row r="61" spans="3:23" ht="4.5" customHeight="1">
      <c r="C61" s="5"/>
    </row>
    <row r="62" spans="3:23" ht="39" customHeight="1">
      <c r="C62" s="65" t="s">
        <v>160</v>
      </c>
      <c r="I62" s="321">
        <f>IFERROR(_xlfn.XLOOKUP(I58,Dropdowns!A35:A39,Dropdowns!B35:B39),I58)*I60*-1</f>
        <v>0</v>
      </c>
      <c r="J62" s="322"/>
      <c r="K62" s="323"/>
    </row>
    <row r="63" spans="3:23" hidden="1">
      <c r="C63" s="65"/>
    </row>
    <row r="64" spans="3:23" ht="5.15" customHeight="1">
      <c r="C64" s="65"/>
    </row>
    <row r="65" spans="3:14" ht="30" customHeight="1">
      <c r="C65" s="69" t="s">
        <v>161</v>
      </c>
      <c r="I65" s="321">
        <f>IF(I62&lt;0.1%,0%,IF(I62&lt;0.2%,0.03%,IF(I62&lt;0.3%,0.05%,IF(I62&lt;0.4%,0.08%,IF(I62&lt;0.5%,0.1%,IF(I62&lt;0.6%,0.13%,IF(I62&lt;0.7%,0.15%,IF(I62&lt;0.8%,0.18%,IF(I62&lt;0.9%,0.2%,IF(I62&lt;1%,0.23%,IF(I62&gt;1%,0.25%,"Error")))))))))))</f>
        <v>0</v>
      </c>
      <c r="J65" s="322"/>
      <c r="K65" s="323"/>
      <c r="M65" s="284" t="s">
        <v>154</v>
      </c>
      <c r="N65" s="284"/>
    </row>
    <row r="66" spans="3:14">
      <c r="C66" s="65"/>
      <c r="M66" s="284"/>
      <c r="N66" s="284"/>
    </row>
    <row r="67" spans="3:14">
      <c r="C67" s="231" t="s">
        <v>162</v>
      </c>
      <c r="M67" s="284"/>
      <c r="N67" s="284"/>
    </row>
    <row r="68" spans="3:14" ht="5.15" customHeight="1">
      <c r="C68" s="65"/>
    </row>
    <row r="69" spans="3:14" ht="30" customHeight="1">
      <c r="C69" s="311" t="s">
        <v>163</v>
      </c>
      <c r="D69" s="311"/>
      <c r="E69" s="311"/>
      <c r="F69" s="311"/>
      <c r="I69" s="321">
        <f>I65+I55</f>
        <v>0</v>
      </c>
      <c r="J69" s="322"/>
      <c r="K69" s="323"/>
      <c r="M69" s="123" t="s">
        <v>164</v>
      </c>
    </row>
    <row r="70" spans="3:14" ht="6" customHeight="1">
      <c r="C70" s="70"/>
      <c r="D70" s="70"/>
      <c r="E70" s="70"/>
      <c r="F70" s="70"/>
    </row>
    <row r="71" spans="3:14">
      <c r="C71" s="337" t="s">
        <v>165</v>
      </c>
      <c r="D71" s="337"/>
      <c r="E71" s="337"/>
      <c r="F71" s="337"/>
      <c r="G71" s="337"/>
      <c r="H71" s="337"/>
      <c r="I71" s="337"/>
      <c r="J71" s="337"/>
      <c r="K71" s="337"/>
      <c r="L71" s="337"/>
      <c r="M71" s="337"/>
      <c r="N71" s="337"/>
    </row>
    <row r="72" spans="3:14" ht="23.25" customHeight="1">
      <c r="C72" s="232" t="s">
        <v>166</v>
      </c>
      <c r="M72" s="275" t="s">
        <v>167</v>
      </c>
      <c r="N72" s="275"/>
    </row>
    <row r="73" spans="3:14" ht="4.5" customHeight="1">
      <c r="M73" s="275"/>
      <c r="N73" s="275"/>
    </row>
    <row r="74" spans="3:14" ht="30" customHeight="1">
      <c r="C74" s="275" t="s">
        <v>168</v>
      </c>
      <c r="D74" s="275"/>
      <c r="E74" s="275"/>
      <c r="F74" s="275"/>
      <c r="G74" s="275"/>
      <c r="I74" s="342"/>
      <c r="J74" s="342"/>
      <c r="K74" s="342"/>
      <c r="M74" s="275"/>
      <c r="N74" s="275"/>
    </row>
    <row r="75" spans="3:14" ht="15.75" customHeight="1">
      <c r="M75" s="275"/>
      <c r="N75" s="275"/>
    </row>
    <row r="76" spans="3:14" ht="21.75" customHeight="1">
      <c r="C76" s="232" t="s">
        <v>169</v>
      </c>
      <c r="M76" s="88"/>
      <c r="N76" s="88"/>
    </row>
    <row r="77" spans="3:14" ht="11.5" customHeight="1">
      <c r="C77" s="105"/>
      <c r="M77" s="345" t="s">
        <v>170</v>
      </c>
      <c r="N77" s="346"/>
    </row>
    <row r="78" spans="3:14" ht="30" customHeight="1">
      <c r="C78" t="s">
        <v>171</v>
      </c>
      <c r="I78" s="343">
        <v>1.04</v>
      </c>
      <c r="J78" s="343"/>
      <c r="K78" s="343"/>
      <c r="M78" s="346"/>
      <c r="N78" s="346"/>
    </row>
    <row r="79" spans="3:14" ht="15" customHeight="1">
      <c r="M79" s="346"/>
      <c r="N79" s="346"/>
    </row>
    <row r="80" spans="3:14" ht="15" customHeight="1">
      <c r="M80" s="346"/>
      <c r="N80" s="346"/>
    </row>
    <row r="81" spans="3:18" ht="28.5" customHeight="1">
      <c r="C81" s="71" t="s">
        <v>172</v>
      </c>
      <c r="I81" s="318">
        <f>IFERROR(_xlfn.XLOOKUP(I74,Dropdowns!A42:A46,Dropdowns!B42:B46),I74)*I78</f>
        <v>0</v>
      </c>
      <c r="J81" s="319"/>
      <c r="K81" s="320"/>
      <c r="M81" s="88"/>
      <c r="N81" s="88"/>
    </row>
    <row r="82" spans="3:18" hidden="1">
      <c r="C82" s="105"/>
      <c r="M82" s="122"/>
      <c r="N82" s="122"/>
    </row>
    <row r="83" spans="3:18" ht="24" customHeight="1">
      <c r="C83" s="232" t="s">
        <v>173</v>
      </c>
      <c r="M83" s="288" t="s">
        <v>174</v>
      </c>
      <c r="N83" s="288"/>
    </row>
    <row r="84" spans="3:18" ht="4.5" customHeight="1">
      <c r="C84" s="71"/>
      <c r="M84" s="288"/>
      <c r="N84" s="288"/>
    </row>
    <row r="85" spans="3:18" ht="30" customHeight="1">
      <c r="C85" s="275" t="s">
        <v>175</v>
      </c>
      <c r="D85" s="275"/>
      <c r="E85" s="275"/>
      <c r="F85" s="275"/>
      <c r="G85" s="275"/>
      <c r="I85" s="313"/>
      <c r="J85" s="313"/>
      <c r="K85" s="313"/>
      <c r="M85" s="288"/>
      <c r="N85" s="288"/>
      <c r="O85" s="309"/>
      <c r="P85" s="10"/>
      <c r="Q85" s="10"/>
      <c r="R85" s="10"/>
    </row>
    <row r="86" spans="3:18" ht="11.15" customHeight="1">
      <c r="C86" s="105"/>
      <c r="M86" s="288"/>
      <c r="N86" s="288"/>
      <c r="O86" s="309"/>
    </row>
    <row r="87" spans="3:18" ht="24" customHeight="1">
      <c r="C87" s="232" t="s">
        <v>176</v>
      </c>
      <c r="O87" s="309"/>
      <c r="P87" s="10"/>
      <c r="Q87" s="10"/>
      <c r="R87" s="10"/>
    </row>
    <row r="88" spans="3:18" ht="4.5" customHeight="1">
      <c r="C88" s="105"/>
    </row>
    <row r="89" spans="3:18" ht="30" customHeight="1">
      <c r="C89" s="167" t="s">
        <v>177</v>
      </c>
      <c r="I89" s="330">
        <v>0.2</v>
      </c>
      <c r="J89" s="331"/>
      <c r="K89" s="331"/>
      <c r="M89" s="297" t="s">
        <v>178</v>
      </c>
      <c r="N89" s="297"/>
    </row>
    <row r="90" spans="3:18" hidden="1">
      <c r="C90" s="97"/>
      <c r="M90" s="297"/>
      <c r="N90" s="297"/>
    </row>
    <row r="91" spans="3:18" ht="5.15" customHeight="1">
      <c r="C91" s="97"/>
      <c r="M91" s="297"/>
      <c r="N91" s="297"/>
    </row>
    <row r="92" spans="3:18" ht="30" customHeight="1">
      <c r="C92" s="275" t="s">
        <v>179</v>
      </c>
      <c r="D92" s="275"/>
      <c r="E92" s="275"/>
      <c r="F92" s="275"/>
      <c r="G92" s="275"/>
      <c r="I92" s="332">
        <f>IF((-1*IFERROR(_xlfn.XLOOKUP(I85,Dropdowns!A49:A53,Dropdowns!B49:B53),I85))&gt;0.02, (-1*IFERROR(_xlfn.XLOOKUP(I85,Dropdowns!A49:A53,Dropdowns!B49:B53),I85))*I89, 0)</f>
        <v>0</v>
      </c>
      <c r="J92" s="332"/>
      <c r="K92" s="332"/>
      <c r="M92" s="297"/>
      <c r="N92" s="297"/>
    </row>
    <row r="93" spans="3:18" ht="10.5" customHeight="1"/>
    <row r="94" spans="3:18">
      <c r="C94" s="337" t="s">
        <v>180</v>
      </c>
      <c r="D94" s="337"/>
      <c r="E94" s="337"/>
      <c r="F94" s="337"/>
      <c r="G94" s="337"/>
      <c r="H94" s="337"/>
      <c r="I94" s="337"/>
      <c r="J94" s="337"/>
      <c r="K94" s="337"/>
      <c r="L94" s="337"/>
      <c r="M94" s="337"/>
      <c r="N94" s="337"/>
    </row>
    <row r="95" spans="3:18" ht="9.75" customHeight="1">
      <c r="C95" s="16"/>
      <c r="D95" s="56"/>
      <c r="E95" s="56"/>
      <c r="M95" s="88"/>
      <c r="N95" s="88"/>
      <c r="P95" s="24"/>
    </row>
    <row r="96" spans="3:18" ht="30" customHeight="1">
      <c r="C96" s="7" t="s">
        <v>181</v>
      </c>
      <c r="I96" s="126">
        <v>0.01</v>
      </c>
      <c r="J96" s="8"/>
      <c r="K96" s="126">
        <v>0.01</v>
      </c>
      <c r="M96" s="284" t="s">
        <v>182</v>
      </c>
      <c r="N96" s="284"/>
      <c r="O96" s="88"/>
      <c r="P96" s="88"/>
      <c r="Q96" s="88"/>
    </row>
    <row r="97" spans="3:17" ht="28.5" customHeight="1">
      <c r="M97" s="88"/>
      <c r="N97" s="88"/>
      <c r="O97" s="88"/>
      <c r="P97" s="88"/>
      <c r="Q97" s="88"/>
    </row>
    <row r="98" spans="3:17">
      <c r="C98" s="337" t="s">
        <v>183</v>
      </c>
      <c r="D98" s="337"/>
      <c r="E98" s="337"/>
      <c r="F98" s="337"/>
      <c r="G98" s="337"/>
      <c r="H98" s="337"/>
      <c r="I98" s="337"/>
      <c r="J98" s="337"/>
      <c r="K98" s="337"/>
      <c r="L98" s="337"/>
      <c r="M98" s="337"/>
      <c r="N98" s="337"/>
    </row>
    <row r="99" spans="3:17" ht="6" customHeight="1"/>
    <row r="100" spans="3:17" ht="30" customHeight="1">
      <c r="C100" s="16" t="s">
        <v>184</v>
      </c>
      <c r="I100" s="169">
        <f>I25</f>
        <v>0</v>
      </c>
      <c r="J100" s="4"/>
      <c r="K100" s="169">
        <f>K25</f>
        <v>0</v>
      </c>
    </row>
    <row r="101" spans="3:17" ht="5.15" customHeight="1">
      <c r="C101" s="16"/>
      <c r="I101" s="4"/>
      <c r="J101" s="4"/>
      <c r="K101" s="4"/>
    </row>
    <row r="102" spans="3:17" ht="30" customHeight="1">
      <c r="C102" t="s">
        <v>185</v>
      </c>
      <c r="I102" s="170">
        <f>$I$41</f>
        <v>0</v>
      </c>
      <c r="J102" s="4"/>
      <c r="K102" s="170">
        <f>$I$41</f>
        <v>0</v>
      </c>
    </row>
    <row r="103" spans="3:17" ht="5.15" customHeight="1">
      <c r="I103" s="4"/>
      <c r="J103" s="4"/>
      <c r="K103" s="4"/>
    </row>
    <row r="104" spans="3:17" ht="30" customHeight="1">
      <c r="C104" t="s">
        <v>186</v>
      </c>
      <c r="I104" s="170">
        <f>IFERROR('Step 4b. CAH Quality Adj'!G36,0)</f>
        <v>0</v>
      </c>
      <c r="J104" s="4"/>
      <c r="K104" s="170">
        <f>IFERROR('Step 4b. CAH Quality Adj'!G36,0)</f>
        <v>0</v>
      </c>
    </row>
    <row r="105" spans="3:17" ht="5.15" customHeight="1">
      <c r="I105" s="4"/>
      <c r="J105" s="4"/>
      <c r="K105" s="4"/>
    </row>
    <row r="106" spans="3:17" ht="30" customHeight="1">
      <c r="C106" t="s">
        <v>187</v>
      </c>
      <c r="I106" s="170">
        <f>$I$69</f>
        <v>0</v>
      </c>
      <c r="J106" s="4"/>
      <c r="K106" s="170">
        <f>$I$69</f>
        <v>0</v>
      </c>
      <c r="M106" s="90"/>
    </row>
    <row r="107" spans="3:17" ht="5.15" customHeight="1">
      <c r="I107" s="4"/>
      <c r="J107" s="4"/>
      <c r="K107" s="4"/>
      <c r="M107" s="90"/>
    </row>
    <row r="108" spans="3:17" ht="30" customHeight="1">
      <c r="C108" t="s">
        <v>188</v>
      </c>
      <c r="I108" s="170">
        <f>$I$92</f>
        <v>0</v>
      </c>
      <c r="J108" s="4"/>
      <c r="K108" s="170">
        <f>$I$92</f>
        <v>0</v>
      </c>
      <c r="M108" s="79"/>
    </row>
    <row r="109" spans="3:17" ht="5.15" customHeight="1">
      <c r="I109" s="4"/>
      <c r="J109" s="4"/>
      <c r="K109" s="4"/>
    </row>
    <row r="110" spans="3:17" ht="30" customHeight="1">
      <c r="C110" t="s">
        <v>189</v>
      </c>
      <c r="I110" s="126">
        <f>I96</f>
        <v>0.01</v>
      </c>
      <c r="J110" s="4"/>
      <c r="K110" s="126">
        <f>K96</f>
        <v>0.01</v>
      </c>
      <c r="M110" s="79"/>
    </row>
    <row r="111" spans="3:17">
      <c r="I111" s="4"/>
      <c r="J111" s="4"/>
      <c r="K111" s="4"/>
    </row>
    <row r="112" spans="3:17" ht="5.15" customHeight="1">
      <c r="I112" s="4"/>
      <c r="J112" s="4"/>
      <c r="K112" s="4"/>
    </row>
    <row r="113" spans="3:11" ht="30" customHeight="1">
      <c r="C113" s="16" t="s">
        <v>190</v>
      </c>
      <c r="I113" s="169">
        <f>I100+(I100*I102)+(I100*I104)+(I100*I106)+(I100*I108)+(I100*I110)</f>
        <v>0</v>
      </c>
      <c r="J113" s="4"/>
      <c r="K113" s="169">
        <f>K100+(K100*K102)+(K100*K104)+(K100*K106)+(K100*K108)+(K100*K110)</f>
        <v>0</v>
      </c>
    </row>
    <row r="114" spans="3:11"/>
    <row r="115" spans="3:11">
      <c r="C115" s="31" t="s">
        <v>0</v>
      </c>
    </row>
    <row r="116" spans="3:11"/>
  </sheetData>
  <sheetProtection algorithmName="SHA-512" hashValue="Bftt0xQ1TAXLCM51TPuCIZ0/SDaeq0lIzOTkYMHmFZsR3++MMnme8y1pxQqkw0gqzLgv/Bq7i2NDXg/602cqgA==" saltValue="qRJ+ma2lWEaxoZr2anJHJA==" spinCount="100000" sheet="1" objects="1" scenarios="1"/>
  <mergeCells count="63">
    <mergeCell ref="C4:N4"/>
    <mergeCell ref="C98:N98"/>
    <mergeCell ref="C94:N94"/>
    <mergeCell ref="C71:N71"/>
    <mergeCell ref="C27:N27"/>
    <mergeCell ref="C21:N21"/>
    <mergeCell ref="M72:N75"/>
    <mergeCell ref="I74:K74"/>
    <mergeCell ref="C74:G74"/>
    <mergeCell ref="C47:G49"/>
    <mergeCell ref="I78:K78"/>
    <mergeCell ref="I62:K62"/>
    <mergeCell ref="I65:K65"/>
    <mergeCell ref="I51:K51"/>
    <mergeCell ref="C58:G59"/>
    <mergeCell ref="M77:N80"/>
    <mergeCell ref="I55:K55"/>
    <mergeCell ref="C5:N5"/>
    <mergeCell ref="M7:N7"/>
    <mergeCell ref="C15:E18"/>
    <mergeCell ref="C23:E23"/>
    <mergeCell ref="I17:K17"/>
    <mergeCell ref="I19:K19"/>
    <mergeCell ref="M19:M20"/>
    <mergeCell ref="M14:N18"/>
    <mergeCell ref="C13:N13"/>
    <mergeCell ref="C25:E25"/>
    <mergeCell ref="I53:K53"/>
    <mergeCell ref="I41:K41"/>
    <mergeCell ref="M40:N41"/>
    <mergeCell ref="C39:G39"/>
    <mergeCell ref="M29:N32"/>
    <mergeCell ref="C35:G35"/>
    <mergeCell ref="M35:N35"/>
    <mergeCell ref="I35:K35"/>
    <mergeCell ref="I33:K33"/>
    <mergeCell ref="C51:F51"/>
    <mergeCell ref="C33:F33"/>
    <mergeCell ref="N45:N49"/>
    <mergeCell ref="M51:N52"/>
    <mergeCell ref="M47:M49"/>
    <mergeCell ref="C92:G92"/>
    <mergeCell ref="I85:K85"/>
    <mergeCell ref="I89:K89"/>
    <mergeCell ref="I92:K92"/>
    <mergeCell ref="M83:N86"/>
    <mergeCell ref="M89:N92"/>
    <mergeCell ref="M96:N96"/>
    <mergeCell ref="O85:O87"/>
    <mergeCell ref="I31:K31"/>
    <mergeCell ref="C30:G32"/>
    <mergeCell ref="I48:K48"/>
    <mergeCell ref="I39:K39"/>
    <mergeCell ref="C85:G85"/>
    <mergeCell ref="M57:M58"/>
    <mergeCell ref="N57:N59"/>
    <mergeCell ref="I81:K81"/>
    <mergeCell ref="I69:K69"/>
    <mergeCell ref="C60:F60"/>
    <mergeCell ref="I58:K58"/>
    <mergeCell ref="I60:K60"/>
    <mergeCell ref="C69:F69"/>
    <mergeCell ref="M65:N67"/>
  </mergeCells>
  <dataValidations count="1">
    <dataValidation type="list" allowBlank="1" showInputMessage="1" showErrorMessage="1" sqref="J25" xr:uid="{53DC1A18-4CE7-432B-B2B2-A4D5DB5A4955}">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12B1D1E6-E8A5-4DC0-86D6-6B3CDAFCEAEA}">
          <x14:formula1>
            <xm:f>'SRA Look Up Table'!$B$8:$B$17</xm:f>
          </x14:formula1>
          <xm:sqref>I17:K17</xm:sqref>
        </x14:dataValidation>
        <x14:dataValidation type="list" allowBlank="1" showInputMessage="1" xr:uid="{77A90325-285D-4D58-95DD-E834EDB3AB28}">
          <x14:formula1>
            <xm:f>Dropdowns!$A$2:$A$6</xm:f>
          </x14:formula1>
          <xm:sqref>I31:K31</xm:sqref>
        </x14:dataValidation>
        <x14:dataValidation type="list" allowBlank="1" showInputMessage="1" xr:uid="{7590A4CA-39A2-40AA-B558-1D8E4D271C1A}">
          <x14:formula1>
            <xm:f>Dropdowns!$A$35:$A$39</xm:f>
          </x14:formula1>
          <xm:sqref>I58:K58</xm:sqref>
        </x14:dataValidation>
        <x14:dataValidation type="list" allowBlank="1" showInputMessage="1" xr:uid="{60ED8EEF-B751-4871-A454-3180230B6EE2}">
          <x14:formula1>
            <xm:f>Dropdowns!$A$42:$A$46</xm:f>
          </x14:formula1>
          <xm:sqref>I74:K74</xm:sqref>
        </x14:dataValidation>
        <x14:dataValidation type="list" allowBlank="1" showInputMessage="1" xr:uid="{D6CF2279-99E4-4335-8C7B-CDA238A382EE}">
          <x14:formula1>
            <xm:f>Dropdowns!$A$49:$A$53</xm:f>
          </x14:formula1>
          <xm:sqref>I85:K85</xm:sqref>
        </x14:dataValidation>
        <x14:dataValidation type="list" allowBlank="1" showInputMessage="1" xr:uid="{DE12F391-E06D-4319-A2DE-76F615A8CD5E}">
          <x14:formula1>
            <xm:f>Dropdowns!$A$28:$A$32</xm:f>
          </x14:formula1>
          <xm:sqref>I48:K48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D8C1F-F7A6-4863-96DB-111EAECF962F}">
  <dimension ref="A1:M63"/>
  <sheetViews>
    <sheetView showGridLines="0" topLeftCell="A22" workbookViewId="0">
      <selection activeCell="L61" sqref="L61"/>
    </sheetView>
  </sheetViews>
  <sheetFormatPr defaultRowHeight="14.5"/>
  <cols>
    <col min="1" max="1" width="38.7265625" style="41" customWidth="1"/>
    <col min="2" max="2" width="28.453125" bestFit="1" customWidth="1"/>
    <col min="3" max="3" width="11.1796875" customWidth="1"/>
    <col min="4" max="4" width="11.1796875" bestFit="1" customWidth="1"/>
    <col min="5" max="5" width="11.7265625" bestFit="1" customWidth="1"/>
    <col min="6" max="7" width="11.1796875" bestFit="1" customWidth="1"/>
    <col min="11" max="11" width="13.26953125" bestFit="1" customWidth="1"/>
    <col min="12" max="12" width="24.453125" customWidth="1"/>
    <col min="13" max="13" width="7.54296875" bestFit="1" customWidth="1"/>
  </cols>
  <sheetData>
    <row r="1" spans="1:12">
      <c r="A1" s="136" t="s">
        <v>191</v>
      </c>
      <c r="B1" s="40" t="s">
        <v>192</v>
      </c>
      <c r="D1" s="144" t="s">
        <v>193</v>
      </c>
    </row>
    <row r="2" spans="1:12">
      <c r="A2" s="47" t="s">
        <v>194</v>
      </c>
      <c r="B2" s="144">
        <v>0.06</v>
      </c>
      <c r="D2" s="155">
        <v>6.8076928640000006E-2</v>
      </c>
      <c r="K2" s="40" t="s">
        <v>195</v>
      </c>
      <c r="L2" s="39" t="b">
        <f>IF(LEFT('Step 1. Hospital Baseline'!D13,2)="07","CT",IF(LEFT('Step 1. Hospital Baseline'!D13,2)="12","HI",IF(LEFT('Step 1. Hospital Baseline'!D13,2)="21","MD",IF(LEFT('Step 1. Hospital Baseline'!D13,2)="33","NY",IF(LEFT('Step 1. Hospital Baseline'!D13,2)="47","VT",IF(LEFT('Step 1. Hospital Baseline'!D13,2)="39","RI"))))))</f>
        <v>0</v>
      </c>
    </row>
    <row r="3" spans="1:12">
      <c r="A3" s="47" t="s">
        <v>196</v>
      </c>
      <c r="B3" s="144">
        <v>0.08</v>
      </c>
      <c r="D3" s="155">
        <v>8.0184358600000005E-2</v>
      </c>
    </row>
    <row r="4" spans="1:12">
      <c r="A4" s="47" t="s">
        <v>197</v>
      </c>
      <c r="B4" s="144">
        <v>0.1</v>
      </c>
      <c r="D4" s="155">
        <v>0.10327363990000001</v>
      </c>
      <c r="G4" s="146"/>
    </row>
    <row r="5" spans="1:12">
      <c r="A5" s="47" t="s">
        <v>198</v>
      </c>
      <c r="B5" s="144">
        <v>0.12</v>
      </c>
      <c r="D5" s="155">
        <v>0.1276791266</v>
      </c>
      <c r="G5" t="s">
        <v>199</v>
      </c>
    </row>
    <row r="6" spans="1:12">
      <c r="A6" s="47" t="s">
        <v>200</v>
      </c>
      <c r="B6" s="144">
        <v>0.14000000000000001</v>
      </c>
      <c r="D6" s="155">
        <v>0.14153598011999999</v>
      </c>
    </row>
    <row r="7" spans="1:12">
      <c r="B7" s="48"/>
    </row>
    <row r="8" spans="1:12">
      <c r="A8" s="136" t="s">
        <v>201</v>
      </c>
      <c r="B8" s="156" t="s">
        <v>192</v>
      </c>
      <c r="D8" s="24"/>
    </row>
    <row r="9" spans="1:12">
      <c r="A9" s="47">
        <v>20</v>
      </c>
      <c r="B9" s="144">
        <v>7.6680740659999996E-2</v>
      </c>
      <c r="C9" s="44"/>
      <c r="D9" s="66" t="s">
        <v>202</v>
      </c>
      <c r="E9" s="66" t="s">
        <v>203</v>
      </c>
      <c r="F9" s="66" t="s">
        <v>204</v>
      </c>
      <c r="G9" s="66" t="s">
        <v>205</v>
      </c>
    </row>
    <row r="10" spans="1:12">
      <c r="A10" s="47">
        <v>50</v>
      </c>
      <c r="B10" s="144">
        <v>0.10327363990000001</v>
      </c>
      <c r="C10" s="44"/>
    </row>
    <row r="11" spans="1:12">
      <c r="A11" s="47">
        <v>79</v>
      </c>
      <c r="B11" s="144">
        <v>0.13032164694000001</v>
      </c>
      <c r="C11" s="44"/>
    </row>
    <row r="12" spans="1:12">
      <c r="B12" s="48"/>
    </row>
    <row r="13" spans="1:12">
      <c r="B13" s="48"/>
    </row>
    <row r="14" spans="1:12">
      <c r="B14" s="48"/>
    </row>
    <row r="15" spans="1:12">
      <c r="A15" s="136" t="s">
        <v>206</v>
      </c>
      <c r="B15" s="40" t="s">
        <v>207</v>
      </c>
      <c r="C15" s="40" t="s">
        <v>208</v>
      </c>
      <c r="D15" s="40" t="s">
        <v>209</v>
      </c>
      <c r="E15" s="40" t="s">
        <v>210</v>
      </c>
      <c r="F15" s="40" t="s">
        <v>211</v>
      </c>
      <c r="G15" s="40" t="s">
        <v>212</v>
      </c>
    </row>
    <row r="16" spans="1:12">
      <c r="A16" s="137" t="s">
        <v>213</v>
      </c>
      <c r="B16" s="143">
        <v>28</v>
      </c>
      <c r="C16" s="143">
        <v>30</v>
      </c>
      <c r="D16" s="143">
        <v>47</v>
      </c>
      <c r="E16" s="143">
        <v>25</v>
      </c>
      <c r="F16" s="143">
        <v>22</v>
      </c>
      <c r="G16" s="143">
        <v>25</v>
      </c>
      <c r="J16" s="33"/>
    </row>
    <row r="17" spans="1:10">
      <c r="A17" s="137" t="s">
        <v>214</v>
      </c>
      <c r="B17" s="143">
        <v>35</v>
      </c>
      <c r="C17" s="143">
        <v>32</v>
      </c>
      <c r="D17" s="143">
        <v>51</v>
      </c>
      <c r="E17" s="143">
        <v>34</v>
      </c>
      <c r="F17" s="143">
        <v>27</v>
      </c>
      <c r="G17" s="143">
        <v>28</v>
      </c>
      <c r="J17" s="33"/>
    </row>
    <row r="18" spans="1:10">
      <c r="A18" s="137" t="s">
        <v>215</v>
      </c>
      <c r="B18" s="143">
        <v>37</v>
      </c>
      <c r="C18" s="143">
        <v>34</v>
      </c>
      <c r="D18" s="143">
        <v>53</v>
      </c>
      <c r="E18" s="143">
        <v>42</v>
      </c>
      <c r="F18" s="143">
        <v>31</v>
      </c>
      <c r="G18" s="143">
        <v>34</v>
      </c>
      <c r="J18" s="33"/>
    </row>
    <row r="19" spans="1:10">
      <c r="A19" s="137" t="s">
        <v>216</v>
      </c>
      <c r="B19" s="143">
        <v>40</v>
      </c>
      <c r="C19" s="143">
        <v>42</v>
      </c>
      <c r="D19" s="143">
        <v>54</v>
      </c>
      <c r="E19" s="143">
        <v>46</v>
      </c>
      <c r="F19" s="143">
        <v>38</v>
      </c>
      <c r="G19" s="143">
        <v>38</v>
      </c>
      <c r="J19" s="33"/>
    </row>
    <row r="20" spans="1:10">
      <c r="A20" s="137" t="s">
        <v>217</v>
      </c>
      <c r="B20" s="143">
        <v>45</v>
      </c>
      <c r="C20" s="143">
        <v>43</v>
      </c>
      <c r="D20" s="143">
        <v>57</v>
      </c>
      <c r="E20" s="143">
        <v>47</v>
      </c>
      <c r="F20" s="143">
        <v>43</v>
      </c>
      <c r="G20" s="143">
        <v>39</v>
      </c>
      <c r="J20" s="33"/>
    </row>
    <row r="21" spans="1:10">
      <c r="A21" s="137" t="s">
        <v>218</v>
      </c>
      <c r="B21" s="143">
        <v>48</v>
      </c>
      <c r="C21" s="143">
        <v>45</v>
      </c>
      <c r="D21" s="143">
        <v>59</v>
      </c>
      <c r="E21" s="143">
        <v>49</v>
      </c>
      <c r="F21" s="143">
        <v>55</v>
      </c>
      <c r="G21" s="143">
        <v>40</v>
      </c>
      <c r="J21" s="33"/>
    </row>
    <row r="22" spans="1:10">
      <c r="A22" s="137" t="s">
        <v>219</v>
      </c>
      <c r="B22" s="143">
        <v>52</v>
      </c>
      <c r="C22" s="143">
        <v>45</v>
      </c>
      <c r="D22" s="143">
        <v>60</v>
      </c>
      <c r="E22" s="143">
        <v>50</v>
      </c>
      <c r="F22" s="143">
        <v>68</v>
      </c>
      <c r="G22" s="143">
        <v>48</v>
      </c>
      <c r="J22" s="33"/>
    </row>
    <row r="23" spans="1:10">
      <c r="A23" s="137" t="s">
        <v>220</v>
      </c>
      <c r="B23" s="143">
        <v>57</v>
      </c>
      <c r="C23" s="143">
        <v>51</v>
      </c>
      <c r="D23" s="143">
        <v>61</v>
      </c>
      <c r="E23" s="143">
        <v>55</v>
      </c>
      <c r="F23" s="143">
        <v>76</v>
      </c>
      <c r="G23" s="143">
        <v>54</v>
      </c>
      <c r="J23" s="33"/>
    </row>
    <row r="24" spans="1:10">
      <c r="A24" s="137" t="s">
        <v>221</v>
      </c>
      <c r="B24" s="143">
        <v>60</v>
      </c>
      <c r="C24" s="143">
        <v>54</v>
      </c>
      <c r="D24" s="143">
        <v>61</v>
      </c>
      <c r="E24" s="143">
        <v>60</v>
      </c>
      <c r="F24" s="143">
        <v>82</v>
      </c>
      <c r="G24" s="143">
        <v>59</v>
      </c>
      <c r="J24" s="33"/>
    </row>
    <row r="25" spans="1:10">
      <c r="A25" s="137" t="s">
        <v>222</v>
      </c>
      <c r="B25" s="143">
        <v>69</v>
      </c>
      <c r="C25" s="143">
        <v>61</v>
      </c>
      <c r="D25" s="143">
        <v>72</v>
      </c>
      <c r="E25" s="143">
        <v>62</v>
      </c>
      <c r="F25" s="143">
        <v>94</v>
      </c>
      <c r="G25" s="143">
        <v>67</v>
      </c>
      <c r="J25" s="33"/>
    </row>
    <row r="26" spans="1:10">
      <c r="D26" s="33"/>
    </row>
    <row r="27" spans="1:10">
      <c r="A27" s="136" t="s">
        <v>223</v>
      </c>
      <c r="B27" s="40" t="s">
        <v>224</v>
      </c>
      <c r="D27" s="40" t="s">
        <v>225</v>
      </c>
    </row>
    <row r="28" spans="1:10">
      <c r="A28" s="137" t="s">
        <v>226</v>
      </c>
      <c r="B28" s="144">
        <v>5.9999999999999995E-4</v>
      </c>
      <c r="D28" s="144">
        <v>2.4499999999999999E-4</v>
      </c>
    </row>
    <row r="29" spans="1:10">
      <c r="A29" s="137" t="s">
        <v>227</v>
      </c>
      <c r="B29" s="144">
        <v>2.9999999999999997E-4</v>
      </c>
      <c r="D29" s="144">
        <v>5.0000000000000002E-5</v>
      </c>
    </row>
    <row r="30" spans="1:10">
      <c r="A30" s="137" t="s">
        <v>228</v>
      </c>
      <c r="B30" s="144">
        <v>0</v>
      </c>
      <c r="D30" s="144">
        <v>0</v>
      </c>
      <c r="G30" s="24" t="s">
        <v>229</v>
      </c>
    </row>
    <row r="31" spans="1:10">
      <c r="A31" s="137" t="s">
        <v>230</v>
      </c>
      <c r="B31" s="144">
        <v>-3.4000000000000002E-4</v>
      </c>
      <c r="D31" s="144">
        <v>-3.4000000000000002E-4</v>
      </c>
      <c r="G31" t="s">
        <v>231</v>
      </c>
    </row>
    <row r="32" spans="1:10">
      <c r="A32" s="137" t="s">
        <v>232</v>
      </c>
      <c r="B32" s="144">
        <v>-5.5000000000000003E-4</v>
      </c>
      <c r="D32" s="144">
        <v>-5.5000000000000003E-4</v>
      </c>
    </row>
    <row r="34" spans="1:9">
      <c r="A34" s="136" t="s">
        <v>233</v>
      </c>
      <c r="B34" s="40" t="s">
        <v>234</v>
      </c>
      <c r="D34" s="40" t="s">
        <v>225</v>
      </c>
    </row>
    <row r="35" spans="1:9">
      <c r="A35" s="137" t="s">
        <v>235</v>
      </c>
      <c r="B35" s="144">
        <v>2E-3</v>
      </c>
      <c r="D35" s="144">
        <v>1.8E-3</v>
      </c>
      <c r="E35" s="44"/>
    </row>
    <row r="36" spans="1:9">
      <c r="A36" s="137" t="s">
        <v>236</v>
      </c>
      <c r="B36" s="144">
        <v>1E-3</v>
      </c>
      <c r="D36" s="144">
        <v>8.9999999999999998E-4</v>
      </c>
      <c r="E36" s="44"/>
    </row>
    <row r="37" spans="1:9">
      <c r="A37" s="137" t="s">
        <v>228</v>
      </c>
      <c r="B37" s="144">
        <v>0</v>
      </c>
      <c r="D37" s="144">
        <v>0</v>
      </c>
      <c r="E37" s="44"/>
    </row>
    <row r="38" spans="1:9">
      <c r="A38" s="137" t="s">
        <v>237</v>
      </c>
      <c r="B38" s="144">
        <v>-1E-3</v>
      </c>
      <c r="D38" s="144">
        <v>-1.1999999999999999E-3</v>
      </c>
      <c r="E38" s="44"/>
    </row>
    <row r="39" spans="1:9">
      <c r="A39" s="137" t="s">
        <v>238</v>
      </c>
      <c r="B39" s="144">
        <v>-2E-3</v>
      </c>
      <c r="D39" s="144">
        <v>-2.5000000000000001E-3</v>
      </c>
      <c r="E39" s="44"/>
    </row>
    <row r="41" spans="1:9">
      <c r="A41" s="136" t="s">
        <v>239</v>
      </c>
      <c r="B41" s="40" t="s">
        <v>240</v>
      </c>
      <c r="D41" s="40" t="s">
        <v>225</v>
      </c>
      <c r="E41" s="24"/>
      <c r="F41" s="24"/>
      <c r="G41" s="24"/>
      <c r="H41" s="24"/>
      <c r="I41" s="24"/>
    </row>
    <row r="42" spans="1:9">
      <c r="A42" s="137" t="s">
        <v>241</v>
      </c>
      <c r="B42" s="142">
        <v>800</v>
      </c>
      <c r="D42" s="152">
        <v>802.54</v>
      </c>
      <c r="E42" s="151"/>
      <c r="F42" s="147"/>
      <c r="G42" s="24"/>
      <c r="H42" s="148"/>
      <c r="I42" s="24"/>
    </row>
    <row r="43" spans="1:9">
      <c r="A43" s="137" t="s">
        <v>242</v>
      </c>
      <c r="B43" s="142">
        <v>900</v>
      </c>
      <c r="D43" s="152">
        <v>909.86</v>
      </c>
      <c r="F43" s="147"/>
      <c r="G43" s="24"/>
      <c r="H43" s="148"/>
      <c r="I43" s="24"/>
    </row>
    <row r="44" spans="1:9">
      <c r="A44" s="137" t="s">
        <v>243</v>
      </c>
      <c r="B44" s="142">
        <v>1000</v>
      </c>
      <c r="D44" s="152">
        <v>1012.11</v>
      </c>
      <c r="F44" s="147"/>
      <c r="G44" s="24"/>
      <c r="H44" s="148"/>
      <c r="I44" s="24"/>
    </row>
    <row r="45" spans="1:9">
      <c r="A45" s="137" t="s">
        <v>244</v>
      </c>
      <c r="B45" s="142">
        <v>1150</v>
      </c>
      <c r="D45" s="152">
        <v>1152.9000000000001</v>
      </c>
      <c r="F45" s="147"/>
      <c r="G45" s="24"/>
      <c r="H45" s="148"/>
      <c r="I45" s="24"/>
    </row>
    <row r="46" spans="1:9">
      <c r="A46" s="137" t="s">
        <v>245</v>
      </c>
      <c r="B46" s="142">
        <v>1200</v>
      </c>
      <c r="D46" s="152">
        <v>1199.43</v>
      </c>
      <c r="F46" s="147"/>
      <c r="G46" s="24"/>
      <c r="H46" s="147"/>
      <c r="I46" s="24"/>
    </row>
    <row r="47" spans="1:9">
      <c r="D47" s="24"/>
      <c r="E47" s="24"/>
      <c r="F47" s="24"/>
      <c r="G47" s="24"/>
      <c r="H47" s="24"/>
      <c r="I47" s="24"/>
    </row>
    <row r="48" spans="1:9">
      <c r="A48" s="40" t="s">
        <v>246</v>
      </c>
      <c r="B48" s="40" t="s">
        <v>247</v>
      </c>
      <c r="D48" s="153" t="s">
        <v>225</v>
      </c>
      <c r="E48" s="24"/>
      <c r="F48" s="24"/>
      <c r="G48" s="24"/>
      <c r="H48" s="24"/>
      <c r="I48" s="24"/>
    </row>
    <row r="49" spans="1:13">
      <c r="A49" s="137" t="s">
        <v>248</v>
      </c>
      <c r="B49" s="144">
        <v>0.05</v>
      </c>
      <c r="D49" s="154">
        <v>5.2145999999999998E-2</v>
      </c>
      <c r="G49" s="24"/>
      <c r="H49" s="24"/>
      <c r="I49" s="24"/>
    </row>
    <row r="50" spans="1:13">
      <c r="A50" s="137" t="s">
        <v>249</v>
      </c>
      <c r="B50" s="144">
        <v>2.5000000000000001E-2</v>
      </c>
      <c r="D50" s="154">
        <v>4.6280000000000002E-2</v>
      </c>
      <c r="G50" s="24"/>
      <c r="H50" s="24"/>
      <c r="I50" s="24"/>
    </row>
    <row r="51" spans="1:13">
      <c r="A51" s="137" t="s">
        <v>250</v>
      </c>
      <c r="B51" s="144">
        <v>0</v>
      </c>
      <c r="D51" s="154">
        <v>3.5117000000000002E-2</v>
      </c>
      <c r="G51" s="24"/>
      <c r="H51" s="24"/>
      <c r="I51" s="24"/>
    </row>
    <row r="52" spans="1:13">
      <c r="A52" s="137" t="s">
        <v>251</v>
      </c>
      <c r="B52" s="144">
        <v>-2.5000000000000001E-2</v>
      </c>
      <c r="D52" s="154">
        <v>2.0587999999999999E-2</v>
      </c>
      <c r="G52" s="24"/>
      <c r="H52" s="24"/>
      <c r="I52" s="24"/>
    </row>
    <row r="53" spans="1:13">
      <c r="A53" s="137" t="s">
        <v>252</v>
      </c>
      <c r="B53" s="144">
        <v>-0.05</v>
      </c>
      <c r="D53" s="154">
        <v>-5.5599999999999998E-3</v>
      </c>
      <c r="G53" s="24"/>
      <c r="H53" s="24"/>
      <c r="I53" s="24"/>
    </row>
    <row r="54" spans="1:13">
      <c r="K54" s="55"/>
      <c r="L54" s="55"/>
    </row>
    <row r="55" spans="1:13">
      <c r="A55" s="136" t="s">
        <v>253</v>
      </c>
      <c r="B55" s="40" t="s">
        <v>254</v>
      </c>
      <c r="K55" s="55"/>
      <c r="L55" s="55"/>
    </row>
    <row r="56" spans="1:13">
      <c r="A56" s="137" t="s">
        <v>255</v>
      </c>
      <c r="B56" s="144">
        <v>2.5000000000000001E-2</v>
      </c>
      <c r="D56" s="44"/>
      <c r="K56" s="55"/>
      <c r="L56" s="55"/>
    </row>
    <row r="57" spans="1:13">
      <c r="A57" s="137" t="s">
        <v>256</v>
      </c>
      <c r="B57" s="144">
        <v>0.01</v>
      </c>
      <c r="D57" s="44"/>
      <c r="K57" s="55"/>
      <c r="L57" s="55"/>
      <c r="M57" s="34"/>
    </row>
    <row r="58" spans="1:13">
      <c r="A58" s="137" t="s">
        <v>228</v>
      </c>
      <c r="B58" s="144">
        <v>0</v>
      </c>
      <c r="D58" s="145"/>
      <c r="K58" s="55"/>
      <c r="L58" s="55"/>
      <c r="M58" s="140"/>
    </row>
    <row r="59" spans="1:13">
      <c r="A59" s="137" t="s">
        <v>257</v>
      </c>
      <c r="B59" s="144">
        <v>-0.01</v>
      </c>
      <c r="D59" s="44"/>
      <c r="J59" s="79"/>
      <c r="K59" s="33"/>
      <c r="M59" s="141"/>
    </row>
    <row r="60" spans="1:13">
      <c r="A60" s="137" t="s">
        <v>258</v>
      </c>
      <c r="B60" s="144">
        <v>-2.5000000000000001E-2</v>
      </c>
      <c r="D60" s="44"/>
      <c r="J60" s="79"/>
      <c r="K60" s="33"/>
      <c r="M60" s="140"/>
    </row>
    <row r="61" spans="1:13">
      <c r="J61" s="79"/>
      <c r="K61" s="33"/>
      <c r="M61" s="140"/>
    </row>
    <row r="62" spans="1:13">
      <c r="J62" s="79"/>
      <c r="K62" s="33"/>
      <c r="M62" s="140"/>
    </row>
    <row r="63" spans="1:13">
      <c r="M63" s="13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7A521-A66C-4A1A-88D3-3A325A781A30}">
  <sheetPr>
    <tabColor theme="8" tint="0.59999389629810485"/>
  </sheetPr>
  <dimension ref="A1:AG150"/>
  <sheetViews>
    <sheetView showGridLines="0" topLeftCell="E13" zoomScale="90" zoomScaleNormal="90" workbookViewId="0">
      <selection activeCell="AD34" sqref="AD34"/>
    </sheetView>
  </sheetViews>
  <sheetFormatPr defaultColWidth="0" defaultRowHeight="0" customHeight="1" zeroHeight="1"/>
  <cols>
    <col min="1" max="1" width="3" customWidth="1"/>
    <col min="2" max="2" width="2.7265625" customWidth="1"/>
    <col min="3" max="3" width="12.81640625" customWidth="1"/>
    <col min="4" max="4" width="21.81640625" customWidth="1"/>
    <col min="5" max="6" width="2.1796875" customWidth="1"/>
    <col min="7" max="7" width="16.453125" customWidth="1"/>
    <col min="8" max="8" width="32.54296875" customWidth="1"/>
    <col min="9" max="9" width="1.7265625" customWidth="1"/>
    <col min="10" max="10" width="28.453125" customWidth="1"/>
    <col min="11" max="11" width="1.7265625" customWidth="1"/>
    <col min="12" max="12" width="17.7265625" customWidth="1"/>
    <col min="13" max="13" width="1.7265625" customWidth="1"/>
    <col min="14" max="14" width="17.7265625" customWidth="1"/>
    <col min="15" max="15" width="1.7265625" customWidth="1"/>
    <col min="16" max="16" width="17.7265625" customWidth="1"/>
    <col min="17" max="17" width="1.7265625" customWidth="1"/>
    <col min="18" max="18" width="18.26953125" customWidth="1"/>
    <col min="19" max="19" width="1.7265625" customWidth="1"/>
    <col min="20" max="20" width="19.81640625" customWidth="1"/>
    <col min="21" max="21" width="1.7265625" customWidth="1"/>
    <col min="22" max="22" width="17.7265625" customWidth="1"/>
    <col min="23" max="23" width="1.7265625" customWidth="1"/>
    <col min="24" max="24" width="17.7265625" customWidth="1"/>
    <col min="25" max="25" width="1.7265625" customWidth="1"/>
    <col min="26" max="26" width="17.7265625" customWidth="1"/>
    <col min="27" max="27" width="1.7265625" customWidth="1"/>
    <col min="28" max="28" width="17.7265625" customWidth="1"/>
    <col min="29" max="29" width="1.7265625" customWidth="1"/>
    <col min="30" max="30" width="17.7265625" style="30" customWidth="1"/>
    <col min="31" max="31" width="12.26953125" customWidth="1"/>
    <col min="32" max="32" width="11.81640625" hidden="1" customWidth="1"/>
    <col min="33" max="33" width="12.81640625" hidden="1" customWidth="1"/>
    <col min="34" max="16384" width="9.1796875" hidden="1"/>
  </cols>
  <sheetData>
    <row r="1" spans="2:30" ht="15" thickBot="1"/>
    <row r="2" spans="2:30" ht="69" customHeight="1" thickBot="1">
      <c r="C2" s="18" t="s">
        <v>1</v>
      </c>
      <c r="D2" s="19"/>
      <c r="E2" s="19"/>
      <c r="F2" s="19"/>
      <c r="G2" s="19"/>
      <c r="H2" s="19"/>
      <c r="I2" s="19"/>
      <c r="J2" s="19"/>
      <c r="K2" s="19"/>
      <c r="L2" s="19"/>
      <c r="M2" s="19"/>
      <c r="N2" s="19"/>
      <c r="O2" s="19"/>
      <c r="P2" s="19"/>
      <c r="Q2" s="19"/>
      <c r="R2" s="19"/>
      <c r="S2" s="19"/>
      <c r="T2" s="19"/>
      <c r="U2" s="19"/>
      <c r="V2" s="19"/>
      <c r="W2" s="19"/>
      <c r="X2" s="19"/>
      <c r="Y2" s="19"/>
      <c r="Z2" s="19"/>
      <c r="AA2" s="19"/>
      <c r="AB2" s="19"/>
      <c r="AC2" s="19"/>
      <c r="AD2" s="20"/>
    </row>
    <row r="3" spans="2:30" ht="14.5"/>
    <row r="4" spans="2:30" s="4" customFormat="1" ht="18" customHeight="1">
      <c r="C4" s="290" t="s">
        <v>186</v>
      </c>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2"/>
    </row>
    <row r="5" spans="2:30" ht="115" customHeight="1">
      <c r="C5" s="279" t="s">
        <v>415</v>
      </c>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5"/>
    </row>
    <row r="6" spans="2:30" ht="8.25" customHeight="1">
      <c r="B6" s="2"/>
      <c r="C6" s="173"/>
    </row>
    <row r="7" spans="2:30" ht="30" customHeight="1">
      <c r="B7" s="2"/>
      <c r="C7" s="356" t="s">
        <v>26</v>
      </c>
      <c r="D7" s="356"/>
    </row>
    <row r="8" spans="2:30" ht="6" customHeight="1">
      <c r="B8" s="2"/>
      <c r="C8" s="119"/>
      <c r="D8" s="119"/>
    </row>
    <row r="9" spans="2:30" ht="30" customHeight="1">
      <c r="B9" s="2"/>
      <c r="C9" s="357" t="s">
        <v>27</v>
      </c>
      <c r="D9" s="357"/>
    </row>
    <row r="10" spans="2:30" ht="8.25" customHeight="1">
      <c r="B10" s="2"/>
    </row>
    <row r="11" spans="2:30" ht="30" customHeight="1">
      <c r="B11" s="2"/>
      <c r="C11" s="358" t="s">
        <v>259</v>
      </c>
      <c r="D11" s="358"/>
      <c r="G11" s="210" t="str">
        <f>IF(ISBLANK('Step 1. Hospital Baseline'!D13),"",'Step 1. Hospital Baseline'!D13)</f>
        <v/>
      </c>
    </row>
    <row r="12" spans="2:30" ht="14.5">
      <c r="L12" s="26"/>
      <c r="M12" s="26"/>
      <c r="N12" s="26"/>
      <c r="O12" s="26"/>
      <c r="P12" s="26"/>
    </row>
    <row r="13" spans="2:30" ht="29">
      <c r="C13" s="222" t="s">
        <v>260</v>
      </c>
      <c r="D13" s="222"/>
      <c r="E13" s="222"/>
      <c r="F13" s="351" t="s">
        <v>261</v>
      </c>
      <c r="G13" s="351"/>
      <c r="H13" s="351"/>
      <c r="I13" s="224"/>
      <c r="J13" s="351" t="s">
        <v>262</v>
      </c>
      <c r="K13" s="351"/>
      <c r="L13" s="351"/>
      <c r="M13" s="222"/>
      <c r="N13" s="351" t="s">
        <v>263</v>
      </c>
      <c r="O13" s="351"/>
      <c r="P13" s="351"/>
      <c r="Q13" s="224"/>
      <c r="R13" s="222" t="s">
        <v>264</v>
      </c>
      <c r="S13" s="222"/>
      <c r="T13" s="222" t="s">
        <v>265</v>
      </c>
      <c r="U13" s="222"/>
      <c r="V13" s="222" t="s">
        <v>266</v>
      </c>
      <c r="W13" s="222"/>
      <c r="X13" s="222" t="s">
        <v>267</v>
      </c>
      <c r="Y13" s="222"/>
      <c r="Z13" s="222" t="s">
        <v>268</v>
      </c>
      <c r="AA13" s="222"/>
      <c r="AB13" s="222" t="s">
        <v>269</v>
      </c>
      <c r="AC13" s="222"/>
      <c r="AD13" s="222" t="s">
        <v>270</v>
      </c>
    </row>
    <row r="14" spans="2:30" s="1" customFormat="1" ht="5.25" customHeight="1">
      <c r="C14" s="13"/>
      <c r="D14" s="13"/>
      <c r="E14" s="13"/>
      <c r="F14" s="13"/>
      <c r="G14" s="13"/>
      <c r="H14" s="13"/>
      <c r="I14" s="12"/>
      <c r="J14" s="13"/>
      <c r="K14" s="13"/>
      <c r="L14" s="13"/>
      <c r="M14" s="13"/>
      <c r="N14" s="13"/>
      <c r="O14" s="13"/>
      <c r="P14" s="13"/>
      <c r="Q14" s="12"/>
      <c r="R14" s="13"/>
      <c r="S14" s="13"/>
      <c r="T14" s="13"/>
      <c r="U14" s="13"/>
      <c r="V14" s="13"/>
      <c r="W14" s="13"/>
      <c r="X14" s="13"/>
      <c r="Y14" s="13"/>
      <c r="Z14" s="13"/>
      <c r="AA14" s="13"/>
      <c r="AB14" s="13"/>
      <c r="AC14" s="13"/>
      <c r="AD14" s="13"/>
    </row>
    <row r="15" spans="2:30" ht="66" customHeight="1">
      <c r="C15" s="347" t="s">
        <v>271</v>
      </c>
      <c r="D15" s="347"/>
      <c r="E15" s="125"/>
      <c r="F15" s="1"/>
      <c r="G15" s="347" t="s">
        <v>272</v>
      </c>
      <c r="H15" s="348"/>
      <c r="J15" s="349" t="s">
        <v>273</v>
      </c>
      <c r="K15" s="349"/>
      <c r="L15" s="349"/>
      <c r="N15" s="350" t="s">
        <v>274</v>
      </c>
      <c r="O15" s="350"/>
      <c r="P15" s="350"/>
      <c r="R15" s="349" t="s">
        <v>275</v>
      </c>
      <c r="T15" s="347" t="s">
        <v>276</v>
      </c>
      <c r="V15" s="349" t="s">
        <v>277</v>
      </c>
      <c r="W15" s="352"/>
      <c r="X15" s="352"/>
      <c r="Y15" s="352"/>
      <c r="Z15" s="352"/>
      <c r="AB15" s="347" t="s">
        <v>278</v>
      </c>
      <c r="AC15" s="347"/>
      <c r="AD15" s="347"/>
    </row>
    <row r="16" spans="2:30" ht="63.75" customHeight="1">
      <c r="C16" s="347"/>
      <c r="D16" s="347"/>
      <c r="E16" s="125"/>
      <c r="F16" s="1"/>
      <c r="G16" s="348"/>
      <c r="H16" s="348"/>
      <c r="J16" s="349"/>
      <c r="K16" s="349"/>
      <c r="L16" s="349"/>
      <c r="N16" s="350"/>
      <c r="O16" s="350"/>
      <c r="P16" s="350"/>
      <c r="R16" s="349"/>
      <c r="T16" s="347"/>
      <c r="V16" s="352"/>
      <c r="W16" s="352"/>
      <c r="X16" s="352"/>
      <c r="Y16" s="352"/>
      <c r="Z16" s="352"/>
      <c r="AB16" s="347"/>
      <c r="AC16" s="347"/>
      <c r="AD16" s="347"/>
    </row>
    <row r="17" spans="3:32" ht="120.75" customHeight="1">
      <c r="C17" s="347"/>
      <c r="D17" s="347"/>
      <c r="E17" s="125"/>
      <c r="F17" s="1"/>
      <c r="G17" s="348"/>
      <c r="H17" s="348"/>
      <c r="J17" s="349"/>
      <c r="K17" s="349"/>
      <c r="L17" s="349"/>
      <c r="N17" s="350"/>
      <c r="O17" s="350"/>
      <c r="P17" s="350"/>
      <c r="R17" s="349"/>
      <c r="T17" s="347"/>
      <c r="V17" s="352"/>
      <c r="W17" s="352"/>
      <c r="X17" s="352"/>
      <c r="Y17" s="352"/>
      <c r="Z17" s="353"/>
      <c r="AB17" s="347"/>
      <c r="AC17" s="347"/>
      <c r="AD17" s="347"/>
    </row>
    <row r="18" spans="3:32" s="1" customFormat="1" ht="6" customHeight="1">
      <c r="J18" s="174"/>
      <c r="K18" s="174"/>
      <c r="L18" s="174"/>
      <c r="N18" s="175"/>
      <c r="O18" s="175"/>
      <c r="P18" s="175"/>
      <c r="R18" s="176"/>
      <c r="T18" s="176"/>
      <c r="V18" s="177"/>
      <c r="W18" s="177"/>
      <c r="X18" s="177"/>
      <c r="Y18" s="177"/>
      <c r="Z18" s="178"/>
      <c r="AB18" s="174"/>
      <c r="AC18" s="174"/>
      <c r="AD18" s="174"/>
    </row>
    <row r="19" spans="3:32" ht="14.5">
      <c r="C19" t="s">
        <v>279</v>
      </c>
      <c r="H19" s="26" t="s">
        <v>280</v>
      </c>
      <c r="J19" s="212" t="s">
        <v>281</v>
      </c>
      <c r="L19" s="179" t="e" cm="1">
        <f t="array" ref="L19">IF(J19="Actual",_xlfn.XLOOKUP(1,($G$11='Quality Results'!$C:$C)*('Quality Results'!$D:$D=2022),'Quality Results'!$E:$E),IF(J19="Not Reported","Not Reported",J19))</f>
        <v>#N/A</v>
      </c>
      <c r="N19" s="212" t="s">
        <v>281</v>
      </c>
      <c r="P19" s="180" t="str">
        <f>IFERROR(_xlfn.XLOOKUP(N19,'Dropdowns (2)'!$C$22:$I$22,'Dropdowns (2)'!C23:I23),N19)</f>
        <v>Actual</v>
      </c>
      <c r="R19" s="181">
        <v>14.6</v>
      </c>
      <c r="S19" s="3"/>
      <c r="T19" s="181">
        <v>14.053293413173659</v>
      </c>
      <c r="V19" s="182">
        <f>IF(OR(P19="Not Reported",P19="Not Scored"),"N/A",IF(P19&lt;=T19,10,IF(P19&gt;R19,0,ROUND((9*((P19-R19)/(T19-R19)))+0.5,0))))</f>
        <v>0</v>
      </c>
      <c r="W19" s="168"/>
      <c r="X19" s="182" t="e">
        <f>IF(OR(P19="Not Reported",P19="Not Scored",L19="Not Reported", L19="Not Scored"),"N/A",IF(P19&lt;=T19,9,IF(P19&gt;=L19,0,ROUND((10*((P19-L19)/(T19-L19))-0.5),0))))</f>
        <v>#N/A</v>
      </c>
      <c r="Y19" s="33"/>
      <c r="Z19" s="182" t="e">
        <f>MAX(V19,X19)</f>
        <v>#N/A</v>
      </c>
      <c r="AB19" s="182" t="s">
        <v>282</v>
      </c>
      <c r="AC19" s="183"/>
      <c r="AD19" s="182" t="s">
        <v>282</v>
      </c>
      <c r="AF19" t="s">
        <v>283</v>
      </c>
    </row>
    <row r="20" spans="3:32" ht="14.5">
      <c r="C20" t="s">
        <v>279</v>
      </c>
      <c r="H20" s="26" t="s">
        <v>284</v>
      </c>
      <c r="J20" s="212" t="s">
        <v>285</v>
      </c>
      <c r="L20" s="184" t="str">
        <f>IFERROR(_xlfn.XLOOKUP(J20,'Dropdowns (2)'!C45:H45,'Dropdowns (2)'!C46:H46),J20)</f>
        <v>Not Reported</v>
      </c>
      <c r="N20" s="213" t="s">
        <v>285</v>
      </c>
      <c r="P20" s="185" t="str">
        <f>IF(OR(L20="Not Reported",N20="Not Reported"),"Not Reported",IFERROR(_xlfn.XLOOKUP(N20,'Dropdowns (2)'!C48:G48,'Dropdowns (2)'!C50:G50),N20))</f>
        <v>Not Reported</v>
      </c>
      <c r="Q20" s="34"/>
      <c r="R20" s="186">
        <v>91</v>
      </c>
      <c r="S20" s="187"/>
      <c r="T20" s="186">
        <v>98</v>
      </c>
      <c r="U20" s="34"/>
      <c r="V20" s="188" t="str">
        <f>IF(P20="Not Reported","N/A",IF(P20&gt;=T20,10,IF(P20&lt;R20,0,ROUND((9*((P20-R20)/(T20-R20)))+0.5,0))))</f>
        <v>N/A</v>
      </c>
      <c r="W20" s="33"/>
      <c r="X20" s="188" t="str">
        <f>IF(P20="Not Reported","N/A",IF(P20&gt;=T20,9,IF(P20&lt;=L20,0,ROUND((10*((P20-L20)/(T20-L20))-0.5),0))))</f>
        <v>N/A</v>
      </c>
      <c r="Y20" s="33"/>
      <c r="Z20" s="188">
        <f t="shared" ref="Z20:Z34" si="0">MAX(V20,X20)</f>
        <v>0</v>
      </c>
      <c r="AA20" s="33"/>
      <c r="AB20" s="188" t="s">
        <v>282</v>
      </c>
      <c r="AC20" s="183"/>
      <c r="AD20" s="188" t="s">
        <v>282</v>
      </c>
      <c r="AF20" s="31" t="s">
        <v>282</v>
      </c>
    </row>
    <row r="21" spans="3:32" ht="14.5">
      <c r="C21" t="s">
        <v>279</v>
      </c>
      <c r="H21" s="26" t="s">
        <v>286</v>
      </c>
      <c r="J21" s="212" t="s">
        <v>281</v>
      </c>
      <c r="L21" s="179" t="e" cm="1">
        <f t="array" ref="L21">IF(J21="Actual",_xlfn.XLOOKUP(1,($G$11='Quality Results'!$C:$C)*('Quality Results'!$D:$D=2022),'Quality Results'!$G:$G),IF(J21="Not Reported","Not Reported",J21))</f>
        <v>#N/A</v>
      </c>
      <c r="N21" s="212" t="s">
        <v>281</v>
      </c>
      <c r="P21" s="180" t="str">
        <f>IFERROR(_xlfn.XLOOKUP(N21,'Dropdowns (2)'!$C$22:$I$22,'Dropdowns (2)'!C25:I25),N21)</f>
        <v>Actual</v>
      </c>
      <c r="Q21" s="34"/>
      <c r="R21" s="181">
        <v>114</v>
      </c>
      <c r="S21" s="189"/>
      <c r="T21" s="181">
        <v>77.55</v>
      </c>
      <c r="U21" s="34"/>
      <c r="V21" s="182">
        <f t="shared" ref="V21:V23" si="1">IF(OR(P21="Not Reported",P21="Not Scored"),"N/A",IF(P21&lt;=T21,10,IF(P21&gt;R21,0,ROUND((9*((P21-R21)/(T21-R21)))+0.5,0))))</f>
        <v>0</v>
      </c>
      <c r="W21" s="168"/>
      <c r="X21" s="182" t="e">
        <f t="shared" ref="X21:X23" si="2">IF(OR(P21="Not Reported",P21="Not Scored",L21="Not Reported", L21="Not Scored"),"N/A",IF(P21&lt;=T21,9,IF(P21&gt;=L21,0,ROUND((10*((P21-L21)/(T21-L21))-0.5),0))))</f>
        <v>#N/A</v>
      </c>
      <c r="Y21" s="33"/>
      <c r="Z21" s="182" t="e">
        <f t="shared" si="0"/>
        <v>#N/A</v>
      </c>
      <c r="AA21" s="33"/>
      <c r="AB21" s="182" t="s">
        <v>282</v>
      </c>
      <c r="AC21" s="183"/>
      <c r="AD21" s="182" t="s">
        <v>282</v>
      </c>
      <c r="AF21" s="24" t="s">
        <v>287</v>
      </c>
    </row>
    <row r="22" spans="3:32" ht="14.5">
      <c r="C22" s="65" t="s">
        <v>288</v>
      </c>
      <c r="D22" s="65"/>
      <c r="E22" s="65"/>
      <c r="H22" s="26" t="s">
        <v>289</v>
      </c>
      <c r="J22" s="212" t="s">
        <v>281</v>
      </c>
      <c r="L22" s="179" t="e" cm="1">
        <f t="array" ref="L22">IF(J22="Actual",_xlfn.XLOOKUP(1,($G$11='Quality Results'!$C:$C)*('Quality Results'!$D:$D=2022),'Quality Results'!$H:$H),IF(J22="Not Reported","Not Reported",J22))</f>
        <v>#N/A</v>
      </c>
      <c r="N22" s="212" t="s">
        <v>281</v>
      </c>
      <c r="P22" s="180" t="str">
        <f>IFERROR(_xlfn.XLOOKUP(N22,'Dropdowns (2)'!$C$22:$I$22,'Dropdowns (2)'!C26:I26),N22)</f>
        <v>Actual</v>
      </c>
      <c r="Q22" s="34"/>
      <c r="R22" s="181">
        <v>0.60899999999999999</v>
      </c>
      <c r="S22" s="189"/>
      <c r="T22" s="181">
        <v>0</v>
      </c>
      <c r="U22" s="34"/>
      <c r="V22" s="182">
        <f t="shared" si="1"/>
        <v>0</v>
      </c>
      <c r="W22" s="168"/>
      <c r="X22" s="182" t="e">
        <f t="shared" si="2"/>
        <v>#N/A</v>
      </c>
      <c r="Y22" s="33"/>
      <c r="Z22" s="182" t="e">
        <f t="shared" si="0"/>
        <v>#N/A</v>
      </c>
      <c r="AA22" s="33"/>
      <c r="AB22" s="182" t="s">
        <v>282</v>
      </c>
      <c r="AC22" s="183"/>
      <c r="AD22" s="182" t="s">
        <v>282</v>
      </c>
      <c r="AF22" s="24" t="s">
        <v>290</v>
      </c>
    </row>
    <row r="23" spans="3:32" ht="14.5">
      <c r="C23" s="65" t="s">
        <v>288</v>
      </c>
      <c r="D23" s="65"/>
      <c r="E23" s="65"/>
      <c r="H23" s="26" t="s">
        <v>291</v>
      </c>
      <c r="J23" s="212" t="s">
        <v>281</v>
      </c>
      <c r="L23" s="179" t="e" cm="1">
        <f t="array" ref="L23">IF(J23="Actual",_xlfn.XLOOKUP(1,($G$11='Quality Results'!$C:$C)*('Quality Results'!$D:$D=2022),'Quality Results'!$I:$I),IF(J23="Not Reported","Not Reported",J23))</f>
        <v>#N/A</v>
      </c>
      <c r="N23" s="212" t="s">
        <v>281</v>
      </c>
      <c r="P23" s="180" t="str">
        <f>IFERROR(_xlfn.XLOOKUP(N23,'Dropdowns (2)'!$C$22:$I$22,'Dropdowns (2)'!C27:I27),N23)</f>
        <v>Actual</v>
      </c>
      <c r="Q23" s="34"/>
      <c r="R23" s="181">
        <v>16</v>
      </c>
      <c r="S23" s="189"/>
      <c r="T23" s="181">
        <v>6.9</v>
      </c>
      <c r="U23" s="34"/>
      <c r="V23" s="182">
        <f t="shared" si="1"/>
        <v>0</v>
      </c>
      <c r="W23" s="168"/>
      <c r="X23" s="182" t="e">
        <f t="shared" si="2"/>
        <v>#N/A</v>
      </c>
      <c r="Y23" s="33"/>
      <c r="Z23" s="182" t="e">
        <f t="shared" si="0"/>
        <v>#N/A</v>
      </c>
      <c r="AA23" s="33"/>
      <c r="AB23" s="182" t="s">
        <v>282</v>
      </c>
      <c r="AC23" s="183"/>
      <c r="AD23" s="182" t="s">
        <v>282</v>
      </c>
      <c r="AF23" s="24" t="s">
        <v>292</v>
      </c>
    </row>
    <row r="24" spans="3:32" ht="14.25" customHeight="1">
      <c r="C24" s="65" t="s">
        <v>288</v>
      </c>
      <c r="D24" s="65"/>
      <c r="E24" s="65"/>
      <c r="H24" s="26" t="s">
        <v>293</v>
      </c>
      <c r="J24" s="212" t="s">
        <v>281</v>
      </c>
      <c r="L24" s="179" t="e" cm="1">
        <f t="array" ref="L24">IF(J24="Actual",_xlfn.XLOOKUP(1,($G$11='Quality Results'!$C:$C)*('Quality Results'!$D:$D=2022),'Quality Results'!$J:$J),IF(J24="Not Reported","Not Reported",J24))</f>
        <v>#N/A</v>
      </c>
      <c r="N24" s="212" t="s">
        <v>281</v>
      </c>
      <c r="P24" s="180" t="str">
        <f>IFERROR(_xlfn.XLOOKUP(N24,'Dropdowns (2)'!$C$22:$I$22,'Dropdowns (2)'!C28:I28),N24)</f>
        <v>Actual</v>
      </c>
      <c r="Q24" s="34"/>
      <c r="R24" s="181">
        <v>67</v>
      </c>
      <c r="S24" s="189"/>
      <c r="T24" s="181">
        <v>91.86</v>
      </c>
      <c r="U24" s="34"/>
      <c r="V24" s="182">
        <f>IF(OR(P24="Not Reported", P24="Not Scored"),"N/A",IF(P24&gt;=T24,10,IF(P24&lt;R24,0,ROUND((9*((P24-R24)/(T24-R24)))+0.5,0))))</f>
        <v>10</v>
      </c>
      <c r="W24" s="33"/>
      <c r="X24" s="182" t="e">
        <f>IF(OR(P24="Not Reported",P24="Not Scored",L24="Not Reported", L24="Not Scored"),"N/A",IF(P24&gt;=T24,9,IF(P24&lt;=L24,0,ROUND((10*((P24-L24)/(T24-L24))-0.5),0))))</f>
        <v>#N/A</v>
      </c>
      <c r="Y24" s="33"/>
      <c r="Z24" s="182" t="e">
        <f t="shared" si="0"/>
        <v>#N/A</v>
      </c>
      <c r="AA24" s="33"/>
      <c r="AB24" s="182" t="s">
        <v>282</v>
      </c>
      <c r="AC24" s="183"/>
      <c r="AD24" s="182" t="s">
        <v>282</v>
      </c>
      <c r="AF24" s="24" t="s">
        <v>290</v>
      </c>
    </row>
    <row r="25" spans="3:32" ht="14.5">
      <c r="C25" s="65" t="s">
        <v>288</v>
      </c>
      <c r="D25" s="65"/>
      <c r="E25" s="65"/>
      <c r="H25" s="26" t="s">
        <v>294</v>
      </c>
      <c r="J25" s="212" t="s">
        <v>281</v>
      </c>
      <c r="L25" s="179" t="e" cm="1">
        <f t="array" ref="L25">IF(J25="Actual",_xlfn.XLOOKUP(1,($G$11='Quality Results'!$C:$C)*('Quality Results'!$D:$D=2022),'Quality Results'!$K:$K),IF(J25="Not Reported","Not Reported",J25))</f>
        <v>#N/A</v>
      </c>
      <c r="N25" s="212" t="s">
        <v>281</v>
      </c>
      <c r="P25" s="180" t="str">
        <f>IFERROR(_xlfn.XLOOKUP(N25,'Dropdowns (2)'!$C$22:$I$22,'Dropdowns (2)'!C29:I29),N25)</f>
        <v>Actual</v>
      </c>
      <c r="Q25" s="34"/>
      <c r="R25" s="181">
        <v>80</v>
      </c>
      <c r="S25" s="189"/>
      <c r="T25" s="181">
        <v>98.4</v>
      </c>
      <c r="U25" s="34"/>
      <c r="V25" s="182">
        <f>IF(P25="Not Reported","N/A",IF(P25&gt;=T25,10,IF(P25&lt;R25,0,ROUND((9*((P25-R25)/(T25-R25)))+0.5,0))))</f>
        <v>10</v>
      </c>
      <c r="W25" s="33"/>
      <c r="X25" s="182" t="e">
        <f>IF(OR(P25="Not Reported",P25="Not Scored",L25="Not Reported", L25="Not Scored"),"N/A",IF(P25&gt;=T25,9,IF(P25&lt;=L25,0,ROUND((10*((P25-L25)/(T25-L25))-0.5),0))))</f>
        <v>#N/A</v>
      </c>
      <c r="Y25" s="33"/>
      <c r="Z25" s="182" t="e">
        <f t="shared" si="0"/>
        <v>#N/A</v>
      </c>
      <c r="AA25" s="33"/>
      <c r="AB25" s="182" t="s">
        <v>282</v>
      </c>
      <c r="AC25" s="183"/>
      <c r="AD25" s="182" t="s">
        <v>282</v>
      </c>
      <c r="AF25" s="24" t="s">
        <v>290</v>
      </c>
    </row>
    <row r="26" spans="3:32" ht="14.5">
      <c r="C26" s="65" t="s">
        <v>288</v>
      </c>
      <c r="D26" s="65"/>
      <c r="E26" s="65"/>
      <c r="H26" s="190" t="s">
        <v>295</v>
      </c>
      <c r="J26" s="212" t="s">
        <v>281</v>
      </c>
      <c r="L26" s="179" t="e" cm="1">
        <f t="array" ref="L26">IF(J26="Actual",_xlfn.XLOOKUP(1,($G$11='Quality Results'!$C:$C)*('Quality Results'!$D:$D=2022),'Quality Results'!$L:$L),IF(J26="Not Reported","Not Reported",J26))</f>
        <v>#N/A</v>
      </c>
      <c r="N26" s="212" t="s">
        <v>281</v>
      </c>
      <c r="P26" s="180" t="str">
        <f>IFERROR(_xlfn.XLOOKUP(N26,'Dropdowns (2)'!$C$22:$I$22,'Dropdowns (2)'!C30:I30),N26)</f>
        <v>Actual</v>
      </c>
      <c r="Q26" s="34"/>
      <c r="R26" s="181">
        <v>187</v>
      </c>
      <c r="S26" s="189"/>
      <c r="T26" s="181">
        <v>102.8</v>
      </c>
      <c r="U26" s="34"/>
      <c r="V26" s="182">
        <f t="shared" ref="V26" si="3">IF(OR(P26="Not Reported",P26="Not Scored"),"N/A",IF(P26&lt;=T26,10,IF(P26&gt;R26,0,ROUND((9*((P26-R26)/(T26-R26)))+0.5,0))))</f>
        <v>0</v>
      </c>
      <c r="W26" s="33"/>
      <c r="X26" s="182" t="e">
        <f>IF(OR(P26="Not Reported",P26="Not Scored",L26="Not Reported", L26="Not Scored"),"N/A",IF(P26&lt;=T26,9,IF(P26&gt;=L26,0,ROUND((10*((P26-L26)/(T26-L26))-0.5),0))))</f>
        <v>#N/A</v>
      </c>
      <c r="Y26" s="33"/>
      <c r="Z26" s="182" t="e">
        <f t="shared" si="0"/>
        <v>#N/A</v>
      </c>
      <c r="AA26" s="33"/>
      <c r="AB26" s="182" t="s">
        <v>282</v>
      </c>
      <c r="AC26" s="183"/>
      <c r="AD26" s="182" t="s">
        <v>282</v>
      </c>
    </row>
    <row r="27" spans="3:32" ht="14.5">
      <c r="C27" s="65" t="s">
        <v>296</v>
      </c>
      <c r="D27" s="65"/>
      <c r="E27" s="65"/>
      <c r="H27" s="26" t="s">
        <v>297</v>
      </c>
      <c r="J27" s="212" t="s">
        <v>281</v>
      </c>
      <c r="L27" s="179" t="e" cm="1">
        <f t="array" ref="L27">IF(J27="Actual",_xlfn.XLOOKUP(1,($G$11='Quality Results'!$C:$C)*('Quality Results'!$D:$D=2022),'Quality Results'!$M:$M),IF(J27="Not Reported","Not Reported",J27))</f>
        <v>#N/A</v>
      </c>
      <c r="N27" s="212" t="s">
        <v>281</v>
      </c>
      <c r="P27" s="180" t="str">
        <f>IFERROR(_xlfn.XLOOKUP(N27,'Dropdowns (2)'!$C$22:$I$22,'Dropdowns (2)'!C31:I31),N27)</f>
        <v>Actual</v>
      </c>
      <c r="Q27" s="34"/>
      <c r="R27" s="181">
        <v>85</v>
      </c>
      <c r="S27" s="189"/>
      <c r="T27" s="181">
        <v>93.19</v>
      </c>
      <c r="U27" s="34"/>
      <c r="V27" s="182">
        <f t="shared" ref="V27:V34" si="4">IF(OR(P27="Not Reported", P27="Not Scored"),"N/A",IF(P27&gt;=T27,10,IF(P27&lt;R27,0,ROUND((9*((P27-R27)/(T27-R27)))+0.5,0))))</f>
        <v>10</v>
      </c>
      <c r="W27" s="33"/>
      <c r="X27" s="182" t="e">
        <f t="shared" ref="X27:X34" si="5">IF(OR(P27="Not Reported",P27="Not Scored",L27="Not Reported", L27="Not Scored"),"N/A",IF(P27&gt;=T27,9,IF(P27&lt;=L27,0,ROUND((10*((P27-L27)/(T27-L27))-0.5),0))))</f>
        <v>#N/A</v>
      </c>
      <c r="Y27" s="33"/>
      <c r="Z27" s="182" t="e">
        <f t="shared" si="0"/>
        <v>#N/A</v>
      </c>
      <c r="AA27" s="33"/>
      <c r="AB27" s="182">
        <v>48</v>
      </c>
      <c r="AC27" s="33"/>
      <c r="AD27" s="182">
        <f>IF(P27="Not Scored",0,IF(P27&gt;=R27,20,IF(P27&lt;=AB27,0,ROUND((20*((P27-AB27)/(R27-AB27))-0.5),0))))</f>
        <v>20</v>
      </c>
      <c r="AF27" t="s">
        <v>283</v>
      </c>
    </row>
    <row r="28" spans="3:32" ht="14.5">
      <c r="C28" s="65" t="s">
        <v>296</v>
      </c>
      <c r="D28" s="65"/>
      <c r="E28" s="65"/>
      <c r="H28" s="26" t="s">
        <v>298</v>
      </c>
      <c r="J28" s="212" t="s">
        <v>281</v>
      </c>
      <c r="L28" s="179" t="e" cm="1">
        <f t="array" ref="L28">IF(J28="Actual",_xlfn.XLOOKUP(1,($G$11='Quality Results'!$C:$C)*('Quality Results'!$D:$D=2022),'Quality Results'!$N:$N),IF(J28="Not Reported","Not Reported",J28))</f>
        <v>#N/A</v>
      </c>
      <c r="N28" s="212" t="s">
        <v>281</v>
      </c>
      <c r="P28" s="180" t="str">
        <f>IFERROR(_xlfn.XLOOKUP(N28,'Dropdowns (2)'!$C$22:$I$22,'Dropdowns (2)'!C32:I32),N28)</f>
        <v>Actual</v>
      </c>
      <c r="Q28" s="34"/>
      <c r="R28" s="181">
        <v>85</v>
      </c>
      <c r="S28" s="189"/>
      <c r="T28" s="181">
        <v>94.08</v>
      </c>
      <c r="U28" s="34"/>
      <c r="V28" s="182">
        <f t="shared" si="4"/>
        <v>10</v>
      </c>
      <c r="W28" s="33"/>
      <c r="X28" s="182" t="e">
        <f t="shared" si="5"/>
        <v>#N/A</v>
      </c>
      <c r="Y28" s="33"/>
      <c r="Z28" s="182" t="e">
        <f t="shared" si="0"/>
        <v>#N/A</v>
      </c>
      <c r="AA28" s="33"/>
      <c r="AB28" s="182">
        <v>50</v>
      </c>
      <c r="AC28" s="33"/>
      <c r="AD28" s="182">
        <f t="shared" ref="AD28:AD34" si="6">IF(P28="Not Scored",0,IF(P28&gt;=R28,20,IF(P28&lt;=AB28,0,ROUND((20*((P28-AB28)/(R28-AB28))-0.5),0))))</f>
        <v>20</v>
      </c>
      <c r="AF28" t="s">
        <v>283</v>
      </c>
    </row>
    <row r="29" spans="3:32" ht="14.5">
      <c r="C29" s="65" t="s">
        <v>296</v>
      </c>
      <c r="D29" s="65"/>
      <c r="E29" s="65"/>
      <c r="H29" s="26" t="s">
        <v>299</v>
      </c>
      <c r="J29" s="212" t="s">
        <v>281</v>
      </c>
      <c r="L29" s="179" t="e" cm="1">
        <f t="array" ref="L29">IF(J29="Actual",_xlfn.XLOOKUP(1,($G$11='Quality Results'!$C:$C)*('Quality Results'!$D:$D=2022),'Quality Results'!$O:$O),IF(J29="Not Reported","Not Reported",J29))</f>
        <v>#N/A</v>
      </c>
      <c r="N29" s="212" t="s">
        <v>281</v>
      </c>
      <c r="P29" s="180" t="str">
        <f>IFERROR(_xlfn.XLOOKUP(N29,'Dropdowns (2)'!$C$22:$I$22,'Dropdowns (2)'!C33:I33),N29)</f>
        <v>Actual</v>
      </c>
      <c r="Q29" s="34"/>
      <c r="R29" s="181">
        <v>87</v>
      </c>
      <c r="S29" s="189"/>
      <c r="T29" s="181">
        <v>90.07</v>
      </c>
      <c r="U29" s="34"/>
      <c r="V29" s="182">
        <f t="shared" si="4"/>
        <v>10</v>
      </c>
      <c r="W29" s="33"/>
      <c r="X29" s="182" t="e">
        <f t="shared" si="5"/>
        <v>#N/A</v>
      </c>
      <c r="Y29" s="33"/>
      <c r="Z29" s="182" t="e">
        <f t="shared" si="0"/>
        <v>#N/A</v>
      </c>
      <c r="AA29" s="33"/>
      <c r="AB29" s="182">
        <v>27</v>
      </c>
      <c r="AC29" s="33"/>
      <c r="AD29" s="182">
        <f t="shared" si="6"/>
        <v>20</v>
      </c>
      <c r="AF29" t="s">
        <v>283</v>
      </c>
    </row>
    <row r="30" spans="3:32" ht="14.5">
      <c r="C30" s="65" t="s">
        <v>296</v>
      </c>
      <c r="D30" s="65"/>
      <c r="E30" s="65"/>
      <c r="H30" s="26" t="s">
        <v>300</v>
      </c>
      <c r="J30" s="212" t="s">
        <v>281</v>
      </c>
      <c r="L30" s="179" t="e" cm="1">
        <f t="array" ref="L30">IF(J30="Actual",_xlfn.XLOOKUP(1,($G$11='Quality Results'!$C:$C)*('Quality Results'!$D:$D=2022),'Quality Results'!$P:$P),IF(J30="Not Reported","Not Reported",J30))</f>
        <v>#N/A</v>
      </c>
      <c r="N30" s="212" t="s">
        <v>281</v>
      </c>
      <c r="P30" s="180" t="str">
        <f>IFERROR(_xlfn.XLOOKUP(N30,'Dropdowns (2)'!$C$22:$I$22,'Dropdowns (2)'!C34:I34),N30)</f>
        <v>Actual</v>
      </c>
      <c r="Q30" s="34"/>
      <c r="R30" s="181">
        <v>67</v>
      </c>
      <c r="S30" s="189"/>
      <c r="T30" s="181">
        <v>81.81</v>
      </c>
      <c r="U30" s="34"/>
      <c r="V30" s="182">
        <f t="shared" si="4"/>
        <v>10</v>
      </c>
      <c r="W30" s="33"/>
      <c r="X30" s="182" t="e">
        <f t="shared" si="5"/>
        <v>#N/A</v>
      </c>
      <c r="Y30" s="33"/>
      <c r="Z30" s="182" t="e">
        <f t="shared" si="0"/>
        <v>#N/A</v>
      </c>
      <c r="AA30" s="33"/>
      <c r="AB30" s="182">
        <v>26</v>
      </c>
      <c r="AC30" s="33"/>
      <c r="AD30" s="182">
        <f t="shared" si="6"/>
        <v>20</v>
      </c>
      <c r="AF30" t="s">
        <v>283</v>
      </c>
    </row>
    <row r="31" spans="3:32" ht="14.5">
      <c r="C31" s="65" t="s">
        <v>296</v>
      </c>
      <c r="D31" s="65"/>
      <c r="E31" s="65"/>
      <c r="H31" s="26" t="s">
        <v>301</v>
      </c>
      <c r="J31" s="212" t="s">
        <v>281</v>
      </c>
      <c r="L31" s="179" t="e" cm="1">
        <f t="array" ref="L31">IF(J31="Actual",_xlfn.XLOOKUP(1,($G$11='Quality Results'!$C:$C)*('Quality Results'!$D:$D=2022),'Quality Results'!$Q:$Q),IF(J31="Not Reported","Not Reported",J31))</f>
        <v>#N/A</v>
      </c>
      <c r="N31" s="212" t="s">
        <v>281</v>
      </c>
      <c r="P31" s="180" t="str">
        <f>IFERROR(_xlfn.XLOOKUP(N31,'Dropdowns (2)'!$C$22:$I$22,'Dropdowns (2)'!C35:I35),N31)</f>
        <v>Actual</v>
      </c>
      <c r="Q31" s="34"/>
      <c r="R31" s="181">
        <v>89</v>
      </c>
      <c r="S31" s="189"/>
      <c r="T31" s="181">
        <v>95.12</v>
      </c>
      <c r="U31" s="34"/>
      <c r="V31" s="182">
        <f t="shared" si="4"/>
        <v>10</v>
      </c>
      <c r="W31" s="33"/>
      <c r="X31" s="182" t="e">
        <f t="shared" si="5"/>
        <v>#N/A</v>
      </c>
      <c r="Y31" s="33"/>
      <c r="Z31" s="182" t="e">
        <f t="shared" si="0"/>
        <v>#N/A</v>
      </c>
      <c r="AA31" s="33"/>
      <c r="AB31" s="182">
        <v>66</v>
      </c>
      <c r="AC31" s="33"/>
      <c r="AD31" s="182">
        <f t="shared" si="6"/>
        <v>20</v>
      </c>
      <c r="AF31" t="s">
        <v>283</v>
      </c>
    </row>
    <row r="32" spans="3:32" ht="14.5">
      <c r="C32" s="65" t="s">
        <v>296</v>
      </c>
      <c r="D32" s="65"/>
      <c r="E32" s="65"/>
      <c r="H32" s="26" t="s">
        <v>302</v>
      </c>
      <c r="J32" s="212" t="s">
        <v>281</v>
      </c>
      <c r="L32" s="179" t="e" cm="1">
        <f t="array" ref="L32">IF(J32="Actual",_xlfn.XLOOKUP(1,($G$11='Quality Results'!$C:$C)*('Quality Results'!$D:$D=2022),'Quality Results'!$R:$R),IF(J32="Not Reported","Not Reported",J32))</f>
        <v>#N/A</v>
      </c>
      <c r="N32" s="212" t="s">
        <v>281</v>
      </c>
      <c r="P32" s="180" t="str">
        <f>IFERROR(_xlfn.XLOOKUP(N32,'Dropdowns (2)'!$C$22:$I$22,'Dropdowns (2)'!C36:I36),N32)</f>
        <v>Actual</v>
      </c>
      <c r="Q32" s="34"/>
      <c r="R32" s="181">
        <v>56</v>
      </c>
      <c r="S32" s="189"/>
      <c r="T32" s="181">
        <v>69.709999999999994</v>
      </c>
      <c r="U32" s="34"/>
      <c r="V32" s="182">
        <f t="shared" si="4"/>
        <v>10</v>
      </c>
      <c r="W32" s="33"/>
      <c r="X32" s="182" t="e">
        <f t="shared" si="5"/>
        <v>#N/A</v>
      </c>
      <c r="Y32" s="33"/>
      <c r="Z32" s="182" t="e">
        <f t="shared" si="0"/>
        <v>#N/A</v>
      </c>
      <c r="AA32" s="33"/>
      <c r="AB32" s="182">
        <v>24</v>
      </c>
      <c r="AC32" s="33"/>
      <c r="AD32" s="182">
        <f t="shared" si="6"/>
        <v>20</v>
      </c>
      <c r="AF32" t="s">
        <v>283</v>
      </c>
    </row>
    <row r="33" spans="3:32" ht="14.5">
      <c r="C33" s="65" t="s">
        <v>296</v>
      </c>
      <c r="D33" s="65"/>
      <c r="E33" s="65"/>
      <c r="H33" s="26" t="s">
        <v>303</v>
      </c>
      <c r="J33" s="212" t="s">
        <v>281</v>
      </c>
      <c r="L33" s="179" t="e" cm="1">
        <f t="array" ref="L33">IF(J33="Actual",_xlfn.XLOOKUP(1,($G$11='Quality Results'!$C:$C)*('Quality Results'!$D:$D=2022),'Quality Results'!$S:$S),IF(J33="Not Reported","Not Reported",J33))</f>
        <v>#N/A</v>
      </c>
      <c r="N33" s="212" t="s">
        <v>281</v>
      </c>
      <c r="P33" s="180" t="str">
        <f>IFERROR(_xlfn.XLOOKUP(N33,'Dropdowns (2)'!$C$22:$I$22,'Dropdowns (2)'!C37:I37),N33)</f>
        <v>Actual</v>
      </c>
      <c r="Q33" s="34"/>
      <c r="R33" s="181">
        <v>79</v>
      </c>
      <c r="S33" s="189"/>
      <c r="T33" s="181">
        <v>91.8</v>
      </c>
      <c r="U33" s="34"/>
      <c r="V33" s="182">
        <f t="shared" si="4"/>
        <v>10</v>
      </c>
      <c r="W33" s="33"/>
      <c r="X33" s="182" t="e">
        <f t="shared" si="5"/>
        <v>#N/A</v>
      </c>
      <c r="Y33" s="33"/>
      <c r="Z33" s="182" t="e">
        <f t="shared" si="0"/>
        <v>#N/A</v>
      </c>
      <c r="AA33" s="33"/>
      <c r="AB33" s="182">
        <v>42</v>
      </c>
      <c r="AC33" s="33"/>
      <c r="AD33" s="182">
        <f t="shared" si="6"/>
        <v>20</v>
      </c>
      <c r="AF33" t="s">
        <v>283</v>
      </c>
    </row>
    <row r="34" spans="3:32" ht="14.5">
      <c r="C34" s="65" t="s">
        <v>296</v>
      </c>
      <c r="D34" s="65"/>
      <c r="E34" s="65"/>
      <c r="H34" s="190" t="s">
        <v>304</v>
      </c>
      <c r="J34" s="212" t="s">
        <v>281</v>
      </c>
      <c r="L34" s="179" t="e" cm="1">
        <f t="array" ref="L34">IF(J34="Actual",_xlfn.XLOOKUP(1,($G$11='Quality Results'!$C:$C)*('Quality Results'!$D:$D=2022),'Quality Results'!$T:$T),IF(J34="Not Reported","Not Reported",J34))</f>
        <v>#N/A</v>
      </c>
      <c r="N34" s="212" t="s">
        <v>281</v>
      </c>
      <c r="P34" s="180" t="str">
        <f>IFERROR(_xlfn.XLOOKUP(N34,'Dropdowns (2)'!$C$22:$I$22,'Dropdowns (2)'!C38:I38),N34)</f>
        <v>Actual</v>
      </c>
      <c r="Q34" s="34"/>
      <c r="R34" s="181">
        <v>74.5</v>
      </c>
      <c r="S34" s="189"/>
      <c r="T34" s="181">
        <v>86</v>
      </c>
      <c r="U34" s="34"/>
      <c r="V34" s="182">
        <f t="shared" si="4"/>
        <v>10</v>
      </c>
      <c r="W34" s="33"/>
      <c r="X34" s="182" t="e">
        <f t="shared" si="5"/>
        <v>#N/A</v>
      </c>
      <c r="Y34" s="33"/>
      <c r="Z34" s="182" t="e">
        <f t="shared" si="0"/>
        <v>#N/A</v>
      </c>
      <c r="AA34" s="33"/>
      <c r="AB34" s="182">
        <v>38.5</v>
      </c>
      <c r="AC34" s="33"/>
      <c r="AD34" s="182">
        <f t="shared" si="6"/>
        <v>20</v>
      </c>
      <c r="AF34" t="s">
        <v>283</v>
      </c>
    </row>
    <row r="35" spans="3:32" ht="14.5">
      <c r="C35" s="65"/>
      <c r="D35" s="65"/>
      <c r="E35" s="65"/>
    </row>
    <row r="36" spans="3:32" ht="14.5">
      <c r="C36" s="191"/>
      <c r="D36" s="191"/>
      <c r="E36" s="191"/>
    </row>
    <row r="37" spans="3:32" ht="14.5">
      <c r="C37" s="31" t="s">
        <v>0</v>
      </c>
      <c r="D37" s="191"/>
      <c r="E37" s="191"/>
    </row>
    <row r="38" spans="3:32" ht="15" customHeight="1"/>
    <row r="39" spans="3:32" ht="15" hidden="1" customHeight="1"/>
    <row r="40" spans="3:32" ht="15" hidden="1" customHeight="1"/>
    <row r="41" spans="3:32" ht="15" hidden="1" customHeight="1"/>
    <row r="42" spans="3:32" ht="15" hidden="1" customHeight="1"/>
    <row r="43" spans="3:32" ht="15" hidden="1" customHeight="1"/>
    <row r="44" spans="3:32" ht="15" hidden="1" customHeight="1"/>
    <row r="45" spans="3:32" ht="15" hidden="1" customHeight="1"/>
    <row r="46" spans="3:32" ht="15" hidden="1" customHeight="1"/>
    <row r="47" spans="3:32" ht="15" hidden="1" customHeight="1"/>
    <row r="48" spans="3:32"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row r="99" ht="15" hidden="1" customHeight="1"/>
    <row r="100" ht="15" hidden="1" customHeight="1"/>
    <row r="101" ht="15" hidden="1" customHeight="1"/>
    <row r="102" ht="15" hidden="1" customHeight="1"/>
    <row r="103" ht="15" hidden="1" customHeight="1"/>
    <row r="104" ht="15" hidden="1" customHeight="1"/>
    <row r="105" ht="15" hidden="1" customHeight="1"/>
    <row r="106" ht="15" hidden="1" customHeight="1"/>
    <row r="107" ht="15" hidden="1" customHeight="1"/>
    <row r="108" ht="15" hidden="1" customHeight="1"/>
    <row r="109" ht="15" hidden="1" customHeight="1"/>
    <row r="110" ht="15" hidden="1" customHeight="1"/>
    <row r="111" ht="15" hidden="1" customHeight="1"/>
    <row r="112" ht="15" hidden="1" customHeight="1"/>
    <row r="113" ht="15" hidden="1" customHeight="1"/>
    <row r="114" ht="15" hidden="1" customHeight="1"/>
    <row r="115" ht="15" hidden="1" customHeight="1"/>
    <row r="116" ht="15" hidden="1" customHeight="1"/>
    <row r="117" ht="15" hidden="1" customHeight="1"/>
    <row r="118" ht="15" hidden="1" customHeight="1"/>
    <row r="119" ht="15" hidden="1" customHeight="1"/>
    <row r="120" ht="15" hidden="1" customHeight="1"/>
    <row r="121" ht="15" hidden="1" customHeight="1"/>
    <row r="122" ht="15" hidden="1" customHeight="1"/>
    <row r="123" ht="15" hidden="1" customHeight="1"/>
    <row r="124" ht="15" hidden="1" customHeight="1"/>
    <row r="125" ht="15" hidden="1" customHeight="1"/>
    <row r="126" ht="15" hidden="1" customHeight="1"/>
    <row r="127" ht="15" hidden="1" customHeight="1"/>
    <row r="128" ht="15" hidden="1" customHeight="1"/>
    <row r="129" ht="15" hidden="1" customHeight="1"/>
    <row r="130" ht="15" hidden="1" customHeight="1"/>
    <row r="131" ht="15" hidden="1" customHeight="1"/>
    <row r="132" ht="15" hidden="1" customHeight="1"/>
    <row r="133" ht="15" hidden="1" customHeight="1"/>
    <row r="134" ht="15" hidden="1" customHeight="1"/>
    <row r="135" ht="15" hidden="1" customHeight="1"/>
    <row r="136" ht="15" hidden="1" customHeight="1"/>
    <row r="137" ht="15" hidden="1" customHeight="1"/>
    <row r="138" ht="15" hidden="1" customHeight="1"/>
    <row r="139" ht="15" hidden="1" customHeight="1"/>
    <row r="140" ht="15" hidden="1" customHeight="1"/>
    <row r="141" ht="15" hidden="1" customHeight="1"/>
    <row r="142" ht="15" hidden="1" customHeight="1"/>
    <row r="143" ht="15" hidden="1" customHeight="1"/>
    <row r="144" ht="15" hidden="1" customHeight="1"/>
    <row r="145" ht="15" hidden="1" customHeight="1"/>
    <row r="146" ht="15" hidden="1" customHeight="1"/>
    <row r="147" ht="15" hidden="1" customHeight="1"/>
    <row r="148" ht="15" hidden="1" customHeight="1"/>
    <row r="149" ht="15" hidden="1" customHeight="1"/>
    <row r="150" ht="15" hidden="1" customHeight="1"/>
  </sheetData>
  <sheetProtection algorithmName="SHA-512" hashValue="AVlgAekGc6GAqrYi2uBtkIUcRwTS/cEHpYHH14YhXomgzurU5EN1JF2StnJA0ZVFvL/q/6kc7zRLHHQH60vl6A==" saltValue="IhZQ0wMmikt7/ZnjhS5Tag==" spinCount="100000" sheet="1" objects="1" scenarios="1"/>
  <mergeCells count="16">
    <mergeCell ref="C4:AD4"/>
    <mergeCell ref="C5:AD5"/>
    <mergeCell ref="C7:D7"/>
    <mergeCell ref="C9:D9"/>
    <mergeCell ref="C11:D11"/>
    <mergeCell ref="F13:H13"/>
    <mergeCell ref="J13:L13"/>
    <mergeCell ref="N13:P13"/>
    <mergeCell ref="V15:Z17"/>
    <mergeCell ref="AB15:AD17"/>
    <mergeCell ref="T15:T17"/>
    <mergeCell ref="C15:D17"/>
    <mergeCell ref="G15:H17"/>
    <mergeCell ref="J15:L17"/>
    <mergeCell ref="N15:P17"/>
    <mergeCell ref="R15:R17"/>
  </mergeCell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xr:uid="{89AFDBA4-7A9D-4328-B096-78D3F17DA194}">
          <x14:formula1>
            <xm:f>'Dropdowns (2)'!$C$48:$H$48</xm:f>
          </x14:formula1>
          <xm:sqref>N20</xm:sqref>
        </x14:dataValidation>
        <x14:dataValidation type="list" allowBlank="1" showInputMessage="1" xr:uid="{D798629B-4040-427C-A71A-6C8FF87E3018}">
          <x14:formula1>
            <xm:f>'Dropdowns (2)'!$C$45:$H$45</xm:f>
          </x14:formula1>
          <xm:sqref>J20</xm:sqref>
        </x14:dataValidation>
        <x14:dataValidation type="list" allowBlank="1" showInputMessage="1" xr:uid="{DA2B80FE-B621-4F94-AC64-52AD7D0C66F5}">
          <x14:formula1>
            <xm:f>'Dropdowns (2)'!$C$2:$I$2</xm:f>
          </x14:formula1>
          <xm:sqref>N19 N21:N34</xm:sqref>
        </x14:dataValidation>
        <x14:dataValidation type="list" allowBlank="1" showInputMessage="1" xr:uid="{A2C62828-A7C1-4117-B46B-D4610650C95A}">
          <x14:formula1>
            <xm:f>'Dropdowns (2)'!$H$2:$I$2</xm:f>
          </x14:formula1>
          <xm:sqref>J19 J21:J34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A3BF2-0AAB-4491-AF61-EC2642540382}">
  <sheetPr>
    <tabColor theme="8" tint="0.59999389629810485"/>
  </sheetPr>
  <dimension ref="B1:AD149"/>
  <sheetViews>
    <sheetView showGridLines="0" topLeftCell="A6" zoomScale="90" zoomScaleNormal="90" workbookViewId="0">
      <selection activeCell="O14" sqref="O14:O18"/>
    </sheetView>
  </sheetViews>
  <sheetFormatPr defaultColWidth="9.1796875" defaultRowHeight="0" customHeight="1" zeroHeight="1"/>
  <cols>
    <col min="1" max="1" width="3" customWidth="1"/>
    <col min="2" max="2" width="2.7265625" customWidth="1"/>
    <col min="3" max="3" width="40" customWidth="1"/>
    <col min="4" max="4" width="17.1796875" customWidth="1"/>
    <col min="5" max="5" width="3.26953125" customWidth="1"/>
    <col min="6" max="6" width="2.7265625" customWidth="1"/>
    <col min="7" max="7" width="25.26953125" customWidth="1"/>
    <col min="8" max="8" width="1.7265625" customWidth="1"/>
    <col min="9" max="9" width="20.1796875" customWidth="1"/>
    <col min="10" max="10" width="1.7265625" customWidth="1"/>
    <col min="11" max="11" width="32" customWidth="1"/>
    <col min="12" max="12" width="1.7265625" customWidth="1"/>
    <col min="13" max="13" width="26" customWidth="1"/>
    <col min="14" max="14" width="1.7265625" customWidth="1"/>
    <col min="15" max="15" width="28.81640625" customWidth="1"/>
    <col min="16" max="16" width="12.26953125" customWidth="1"/>
    <col min="17" max="17" width="11.81640625" customWidth="1"/>
    <col min="18" max="18" width="12.81640625" customWidth="1"/>
    <col min="19" max="24" width="9.1796875" customWidth="1"/>
  </cols>
  <sheetData>
    <row r="1" spans="2:30" ht="15" thickBot="1"/>
    <row r="2" spans="2:30" ht="69" customHeight="1" thickBot="1">
      <c r="C2" s="18" t="s">
        <v>1</v>
      </c>
      <c r="D2" s="19"/>
      <c r="E2" s="19"/>
      <c r="F2" s="19"/>
      <c r="G2" s="19"/>
      <c r="H2" s="19"/>
      <c r="I2" s="19"/>
      <c r="J2" s="19"/>
      <c r="K2" s="19"/>
      <c r="L2" s="19"/>
      <c r="M2" s="19"/>
      <c r="N2" s="19"/>
      <c r="O2" s="20"/>
    </row>
    <row r="3" spans="2:30" ht="6.75" customHeight="1">
      <c r="B3" s="2"/>
    </row>
    <row r="4" spans="2:30" s="4" customFormat="1" ht="18" customHeight="1">
      <c r="B4" s="2"/>
      <c r="C4" s="290" t="s">
        <v>186</v>
      </c>
      <c r="D4" s="291"/>
      <c r="E4" s="291"/>
      <c r="F4" s="291"/>
      <c r="G4" s="291"/>
      <c r="H4" s="291"/>
      <c r="I4" s="291"/>
      <c r="J4" s="291"/>
      <c r="K4" s="291"/>
      <c r="L4" s="291"/>
      <c r="M4" s="291"/>
      <c r="N4" s="291"/>
      <c r="O4" s="292"/>
      <c r="P4" s="240"/>
      <c r="Q4" s="240"/>
      <c r="R4" s="240"/>
      <c r="S4" s="240"/>
      <c r="T4" s="240"/>
      <c r="U4" s="240"/>
      <c r="V4" s="240"/>
      <c r="W4" s="240"/>
      <c r="X4" s="240"/>
      <c r="Y4" s="240"/>
      <c r="Z4" s="240"/>
      <c r="AA4" s="240"/>
      <c r="AB4" s="240"/>
      <c r="AC4" s="240"/>
      <c r="AD4" s="240"/>
    </row>
    <row r="5" spans="2:30" ht="30.75" customHeight="1">
      <c r="B5" s="2"/>
    </row>
    <row r="6" spans="2:30" ht="30" customHeight="1">
      <c r="B6" s="2"/>
      <c r="C6" s="231" t="s">
        <v>305</v>
      </c>
      <c r="D6" s="214"/>
    </row>
    <row r="7" spans="2:30" ht="43.5" customHeight="1">
      <c r="B7" s="2"/>
    </row>
    <row r="8" spans="2:30" ht="18.75" customHeight="1">
      <c r="B8" s="2"/>
      <c r="C8" s="235" t="s">
        <v>306</v>
      </c>
    </row>
    <row r="9" spans="2:30" ht="8.25" customHeight="1">
      <c r="B9" s="2"/>
    </row>
    <row r="10" spans="2:30" ht="29">
      <c r="B10" s="2"/>
      <c r="C10" s="224" t="s">
        <v>260</v>
      </c>
      <c r="D10" s="222"/>
      <c r="E10" s="351"/>
      <c r="F10" s="351"/>
      <c r="G10" s="224" t="s">
        <v>307</v>
      </c>
      <c r="H10" s="236"/>
      <c r="I10" s="222" t="s">
        <v>308</v>
      </c>
      <c r="J10" s="222"/>
      <c r="K10" s="222" t="s">
        <v>309</v>
      </c>
      <c r="L10" s="222"/>
      <c r="M10" s="222" t="s">
        <v>310</v>
      </c>
      <c r="N10" s="222"/>
      <c r="O10" s="222" t="s">
        <v>311</v>
      </c>
    </row>
    <row r="11" spans="2:30" ht="5.15" customHeight="1">
      <c r="B11" s="2"/>
    </row>
    <row r="12" spans="2:30" ht="168" customHeight="1">
      <c r="B12" s="2"/>
      <c r="C12" s="192"/>
      <c r="G12" s="193" t="s">
        <v>312</v>
      </c>
      <c r="H12" s="28"/>
      <c r="I12" s="193" t="s">
        <v>313</v>
      </c>
      <c r="J12" s="28"/>
      <c r="K12" s="193" t="s">
        <v>314</v>
      </c>
      <c r="L12" s="28"/>
      <c r="M12" s="193" t="s">
        <v>315</v>
      </c>
      <c r="N12" s="28"/>
      <c r="O12" s="194" t="s">
        <v>316</v>
      </c>
    </row>
    <row r="13" spans="2:30" ht="5.15" customHeight="1">
      <c r="B13" s="2"/>
    </row>
    <row r="14" spans="2:30" ht="30" customHeight="1">
      <c r="B14" s="2"/>
      <c r="C14" s="16" t="s">
        <v>279</v>
      </c>
      <c r="G14" s="195">
        <f>COUNT('Step 4a. CAH Quality Measures'!P19:P21)+COUNTIF('Step 4a. CAH Quality Measures'!P19:P21,"Not Scored")</f>
        <v>0</v>
      </c>
      <c r="I14" s="195">
        <f>IFERROR(SUM('Step 4a. CAH Quality Measures'!Z19:Z21),0)</f>
        <v>0</v>
      </c>
      <c r="K14" s="182" t="s">
        <v>282</v>
      </c>
      <c r="M14" s="181">
        <f>I14/30</f>
        <v>0</v>
      </c>
      <c r="O14" s="362">
        <f>(M14*0.34)+(M18*0.33)+(M16*0.33)</f>
        <v>0.33</v>
      </c>
    </row>
    <row r="15" spans="2:30" ht="5.15" customHeight="1">
      <c r="B15" s="2"/>
      <c r="C15" s="16"/>
      <c r="K15" s="26"/>
      <c r="O15" s="362"/>
    </row>
    <row r="16" spans="2:30" ht="30" customHeight="1">
      <c r="B16" s="2"/>
      <c r="C16" s="16" t="s">
        <v>288</v>
      </c>
      <c r="G16" s="195">
        <f>COUNT('Step 4a. CAH Quality Measures'!P22:P26)+COUNTIF('Step 4a. CAH Quality Measures'!P22:P26,"Not Scored")</f>
        <v>0</v>
      </c>
      <c r="I16" s="195">
        <f>IFERROR(SUM('Step 4a. CAH Quality Measures'!Z22:Z26),0)</f>
        <v>0</v>
      </c>
      <c r="K16" s="182" t="s">
        <v>282</v>
      </c>
      <c r="M16" s="181">
        <f>I16/50</f>
        <v>0</v>
      </c>
      <c r="O16" s="362"/>
    </row>
    <row r="17" spans="2:15" ht="5.15" customHeight="1">
      <c r="B17" s="2"/>
      <c r="C17" s="16"/>
      <c r="K17" s="26"/>
      <c r="O17" s="362"/>
    </row>
    <row r="18" spans="2:15" ht="30" customHeight="1">
      <c r="B18" s="2"/>
      <c r="C18" s="16" t="s">
        <v>296</v>
      </c>
      <c r="G18" s="195">
        <f>COUNT('Step 4a. CAH Quality Measures'!P27:P34)+COUNTIF('Step 4a. CAH Quality Measures'!P27:P34,"Not Scored")</f>
        <v>0</v>
      </c>
      <c r="I18" s="195">
        <f>IFERROR(SUM('Step 4a. CAH Quality Measures'!Z27:Z34),0)</f>
        <v>0</v>
      </c>
      <c r="K18" s="182">
        <f>MIN('Step 4a. CAH Quality Measures'!AD27:AD34)</f>
        <v>20</v>
      </c>
      <c r="M18" s="181">
        <f>((I18/80)+(K18/20))</f>
        <v>1</v>
      </c>
      <c r="O18" s="362"/>
    </row>
    <row r="19" spans="2:15" ht="17.5">
      <c r="B19" s="2"/>
    </row>
    <row r="20" spans="2:15" s="4" customFormat="1" ht="14.5">
      <c r="C20" s="105"/>
      <c r="M20"/>
      <c r="O20" s="196"/>
    </row>
    <row r="21" spans="2:15" s="4" customFormat="1" ht="35.25" customHeight="1">
      <c r="C21" s="361" t="s">
        <v>317</v>
      </c>
      <c r="D21" s="361"/>
      <c r="G21" s="197">
        <f>IF(AND(COUNT('Step 4a. CAH Quality Measures'!P19:P21)&gt;=1,COUNT('Step 4a. CAH Quality Measures'!P22:P26)&gt;=1,COUNT('Step 4a. CAH Quality Measures'!P27:P34)&gt;=1),_xlfn.XLOOKUP(D6,'PY Selection'!A2:A7,'PY Selection'!B2:B7),0)</f>
        <v>0</v>
      </c>
      <c r="I21" s="360" t="s">
        <v>318</v>
      </c>
      <c r="J21" s="360"/>
      <c r="K21" s="360"/>
      <c r="L21" s="360"/>
      <c r="M21" s="360"/>
      <c r="N21" s="360"/>
      <c r="O21" s="360"/>
    </row>
    <row r="22" spans="2:15" ht="14.5">
      <c r="C22" s="24"/>
      <c r="D22" s="24"/>
      <c r="E22" s="24"/>
      <c r="F22" s="24"/>
      <c r="G22" s="24"/>
      <c r="H22" s="24"/>
      <c r="I22" s="24"/>
      <c r="J22" s="24"/>
      <c r="K22" s="24"/>
      <c r="L22" s="24"/>
      <c r="M22" s="24"/>
      <c r="N22" s="24"/>
      <c r="O22" s="24"/>
    </row>
    <row r="23" spans="2:15" ht="14.5">
      <c r="C23" s="361" t="s">
        <v>319</v>
      </c>
      <c r="D23" s="361"/>
    </row>
    <row r="24" spans="2:15" ht="14.5">
      <c r="C24" s="361"/>
      <c r="D24" s="361"/>
    </row>
    <row r="25" spans="2:15" ht="30" customHeight="1">
      <c r="C25" s="4" t="s">
        <v>320</v>
      </c>
      <c r="G25" s="181">
        <v>0.6</v>
      </c>
      <c r="I25" s="363" t="s">
        <v>321</v>
      </c>
      <c r="J25" s="363"/>
      <c r="K25" s="363"/>
      <c r="L25" s="363"/>
      <c r="M25" s="363"/>
      <c r="N25" s="363"/>
      <c r="O25" s="363"/>
    </row>
    <row r="26" spans="2:15" ht="30" customHeight="1">
      <c r="C26" s="4" t="s">
        <v>322</v>
      </c>
      <c r="G26" s="181">
        <v>0.375</v>
      </c>
      <c r="I26" s="363"/>
      <c r="J26" s="363"/>
      <c r="K26" s="363"/>
      <c r="L26" s="363"/>
      <c r="M26" s="363"/>
      <c r="N26" s="363"/>
      <c r="O26" s="363"/>
    </row>
    <row r="27" spans="2:15" ht="14.5"/>
    <row r="28" spans="2:15" s="24" customFormat="1" ht="19.5" customHeight="1">
      <c r="C28" s="359" t="s">
        <v>323</v>
      </c>
      <c r="D28" s="359"/>
      <c r="E28"/>
      <c r="F28"/>
    </row>
    <row r="29" spans="2:15" s="24" customFormat="1" ht="63.75" customHeight="1">
      <c r="C29" s="359"/>
      <c r="D29" s="359"/>
      <c r="E29"/>
      <c r="F29"/>
    </row>
    <row r="30" spans="2:15" s="24" customFormat="1" ht="30" customHeight="1">
      <c r="C30" s="359"/>
      <c r="D30" s="359"/>
      <c r="E30"/>
      <c r="F30"/>
      <c r="G30" s="198">
        <f>IF(O14&lt;$G$26,0,IF(O14&gt;$G$25,2%,(0.02-($G$25-O14)*(0.02/($G$25-$G$26)))))*IF(OR($D$6="PY3",$D$6="PY4"),0,IF($D$6="PY5",0.25,IF($D$6="PY6",0.5,IF($D$6="PY7",0.75,IF($D$6="PY8",1,0)))))</f>
        <v>0</v>
      </c>
      <c r="H30"/>
      <c r="I30" s="360" t="s">
        <v>324</v>
      </c>
      <c r="J30" s="360"/>
      <c r="K30" s="360"/>
      <c r="L30" s="360"/>
      <c r="M30" s="360"/>
      <c r="N30" s="360"/>
      <c r="O30" s="360"/>
    </row>
    <row r="31" spans="2:15" s="24" customFormat="1" ht="18.649999999999999" customHeight="1">
      <c r="C31" s="359"/>
      <c r="D31" s="359"/>
      <c r="E31" s="199"/>
      <c r="F31" s="199"/>
      <c r="G31" s="199"/>
      <c r="H31"/>
      <c r="I31" s="360"/>
      <c r="J31" s="360"/>
      <c r="K31" s="360"/>
      <c r="L31" s="360"/>
      <c r="M31" s="360"/>
      <c r="N31" s="360"/>
      <c r="O31" s="360"/>
    </row>
    <row r="32" spans="2:15" s="24" customFormat="1" ht="33" customHeight="1">
      <c r="C32" s="359"/>
      <c r="D32" s="359"/>
      <c r="E32"/>
      <c r="F32"/>
      <c r="G32"/>
      <c r="H32"/>
      <c r="I32"/>
      <c r="J32"/>
      <c r="K32"/>
      <c r="L32"/>
      <c r="M32"/>
      <c r="N32"/>
      <c r="O32"/>
    </row>
    <row r="33" spans="3:15" s="24" customFormat="1" ht="74.150000000000006" customHeight="1">
      <c r="C33" s="359"/>
      <c r="D33" s="359"/>
      <c r="E33"/>
      <c r="F33"/>
      <c r="H33"/>
      <c r="I33"/>
      <c r="J33"/>
      <c r="K33"/>
      <c r="L33"/>
      <c r="M33"/>
      <c r="N33"/>
      <c r="O33"/>
    </row>
    <row r="34" spans="3:15" s="24" customFormat="1" ht="14.5">
      <c r="C34"/>
      <c r="D34"/>
      <c r="E34"/>
      <c r="F34"/>
      <c r="G34"/>
      <c r="H34"/>
      <c r="I34"/>
      <c r="J34"/>
      <c r="K34"/>
      <c r="L34"/>
      <c r="M34"/>
      <c r="N34"/>
      <c r="O34"/>
    </row>
    <row r="35" spans="3:15" ht="21.65" customHeight="1">
      <c r="C35" s="232" t="s">
        <v>325</v>
      </c>
    </row>
    <row r="36" spans="3:15" s="24" customFormat="1" ht="30" customHeight="1">
      <c r="C36" s="10" t="s">
        <v>326</v>
      </c>
      <c r="D36"/>
      <c r="E36"/>
      <c r="F36"/>
      <c r="G36" s="200">
        <f>G21+G30</f>
        <v>0</v>
      </c>
      <c r="H36"/>
      <c r="J36"/>
      <c r="K36"/>
      <c r="L36"/>
      <c r="M36"/>
      <c r="N36"/>
      <c r="O36"/>
    </row>
    <row r="37" spans="3:15" ht="15" customHeight="1"/>
    <row r="38" spans="3:15" ht="15" customHeight="1"/>
    <row r="39" spans="3:15" ht="15" customHeight="1">
      <c r="C39" s="31" t="s">
        <v>0</v>
      </c>
    </row>
    <row r="40" spans="3:15" ht="15" customHeight="1"/>
    <row r="41" spans="3:15" ht="15" hidden="1" customHeight="1"/>
    <row r="42" spans="3:15" ht="15" hidden="1" customHeight="1"/>
    <row r="43" spans="3:15" ht="15" hidden="1" customHeight="1"/>
    <row r="44" spans="3:15" ht="15" hidden="1" customHeight="1"/>
    <row r="45" spans="3:15" ht="15" hidden="1" customHeight="1"/>
    <row r="46" spans="3:15" ht="15" hidden="1" customHeight="1"/>
    <row r="47" spans="3:15" ht="15" hidden="1" customHeight="1"/>
    <row r="48" spans="3:15"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row r="99" ht="15" hidden="1" customHeight="1"/>
    <row r="100" ht="15" hidden="1" customHeight="1"/>
    <row r="101" ht="15" hidden="1" customHeight="1"/>
    <row r="102" ht="15" hidden="1" customHeight="1"/>
    <row r="103" ht="15" hidden="1" customHeight="1"/>
    <row r="104" ht="15" hidden="1" customHeight="1"/>
    <row r="105" ht="15" hidden="1" customHeight="1"/>
    <row r="106" ht="15" hidden="1" customHeight="1"/>
    <row r="107" ht="15" hidden="1" customHeight="1"/>
    <row r="108" ht="15" hidden="1" customHeight="1"/>
    <row r="109" ht="15" hidden="1" customHeight="1"/>
    <row r="110" ht="15" hidden="1" customHeight="1"/>
    <row r="111" ht="15" hidden="1" customHeight="1"/>
    <row r="112" ht="15" hidden="1" customHeight="1"/>
    <row r="113" ht="15" hidden="1" customHeight="1"/>
    <row r="114" ht="15" hidden="1" customHeight="1"/>
    <row r="115" ht="15" hidden="1" customHeight="1"/>
    <row r="116" ht="15" hidden="1" customHeight="1"/>
    <row r="117" ht="15" hidden="1" customHeight="1"/>
    <row r="118" ht="15" hidden="1" customHeight="1"/>
    <row r="119" ht="15" hidden="1" customHeight="1"/>
    <row r="120" ht="15" hidden="1" customHeight="1"/>
    <row r="121" ht="15" hidden="1" customHeight="1"/>
    <row r="122" ht="15" hidden="1" customHeight="1"/>
    <row r="123" ht="15" hidden="1" customHeight="1"/>
    <row r="124" ht="15" hidden="1" customHeight="1"/>
    <row r="125" ht="15" hidden="1" customHeight="1"/>
    <row r="126" ht="15" hidden="1" customHeight="1"/>
    <row r="127" ht="15" hidden="1" customHeight="1"/>
    <row r="128" ht="15" hidden="1" customHeight="1"/>
    <row r="129" ht="15" hidden="1" customHeight="1"/>
    <row r="130" ht="15" hidden="1" customHeight="1"/>
    <row r="131" ht="15" hidden="1" customHeight="1"/>
    <row r="132" ht="15" hidden="1" customHeight="1"/>
    <row r="133" ht="15" hidden="1" customHeight="1"/>
    <row r="134" ht="15" hidden="1" customHeight="1"/>
    <row r="135" ht="15" hidden="1" customHeight="1"/>
    <row r="136" ht="15" hidden="1" customHeight="1"/>
    <row r="137" ht="15" hidden="1" customHeight="1"/>
    <row r="138" ht="15" hidden="1" customHeight="1"/>
    <row r="139" ht="15" hidden="1" customHeight="1"/>
    <row r="140" ht="15" hidden="1" customHeight="1"/>
    <row r="141" ht="15" hidden="1" customHeight="1"/>
    <row r="142" ht="15" hidden="1" customHeight="1"/>
    <row r="143" ht="15" hidden="1" customHeight="1"/>
    <row r="144" ht="15" hidden="1" customHeight="1"/>
    <row r="145" ht="15" hidden="1" customHeight="1"/>
    <row r="146" ht="15" hidden="1" customHeight="1"/>
    <row r="147" ht="15" hidden="1" customHeight="1"/>
    <row r="148" ht="15" hidden="1" customHeight="1"/>
    <row r="149" ht="15" hidden="1" customHeight="1"/>
  </sheetData>
  <sheetProtection algorithmName="SHA-512" hashValue="8vF6Dnc8ge47J5WsgI+NEuneqXbzL3Qz9EtGpk5rqNfjI4YMbPGQtaSlpUhV7hkz10Fw2bSYbAjj8KSnR55btw==" saltValue="6tzb8bZREEBwEZLeiFLANA==" spinCount="100000" sheet="1" objects="1" scenarios="1"/>
  <mergeCells count="9">
    <mergeCell ref="C28:D33"/>
    <mergeCell ref="I30:O31"/>
    <mergeCell ref="C21:D21"/>
    <mergeCell ref="C23:D24"/>
    <mergeCell ref="C4:O4"/>
    <mergeCell ref="E10:F10"/>
    <mergeCell ref="O14:O18"/>
    <mergeCell ref="I21:O21"/>
    <mergeCell ref="I25:O26"/>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8BB9C21-3321-4CBC-B9D9-655CC3ABD4FF}">
          <x14:formula1>
            <xm:f>'PY Selection'!$A$2:$A$7</xm:f>
          </x14:formula1>
          <xm:sqref>D6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2324E65690287459503ECF4E0C32546" ma:contentTypeVersion="0" ma:contentTypeDescription="Create a new document." ma:contentTypeScope="" ma:versionID="030751f1792c4ddf8a6f19bd09e226a7">
  <xsd:schema xmlns:xsd="http://www.w3.org/2001/XMLSchema" xmlns:xs="http://www.w3.org/2001/XMLSchema" xmlns:p="http://schemas.microsoft.com/office/2006/metadata/properties" targetNamespace="http://schemas.microsoft.com/office/2006/metadata/properties" ma:root="true" ma:fieldsID="d1618be233d3e29b182ccd59efb176b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42E7F1-896E-44D7-B625-ECB286FEC94E}">
  <ds:schemaRefs>
    <ds:schemaRef ds:uri="http://purl.org/dc/terms/"/>
    <ds:schemaRef ds:uri="http://schemas.openxmlformats.org/package/2006/metadata/core-properties"/>
    <ds:schemaRef ds:uri="http://schemas.microsoft.com/office/2006/documentManagement/types"/>
    <ds:schemaRef ds:uri="418d3868-efa3-4f64-a28a-56bad9217e7a"/>
    <ds:schemaRef ds:uri="http://purl.org/dc/elements/1.1/"/>
    <ds:schemaRef ds:uri="http://schemas.microsoft.com/office/2006/metadata/properties"/>
    <ds:schemaRef ds:uri="34015cbd-c657-48e0-bd20-de9032799d59"/>
    <ds:schemaRef ds:uri="http://schemas.microsoft.com/office/infopath/2007/PartnerControls"/>
    <ds:schemaRef ds:uri="12427596-4ea5-4c66-ae35-c77a1b89deab"/>
    <ds:schemaRef ds:uri="8d878ef6-4b97-412a-bb72-afd85908f126"/>
    <ds:schemaRef ds:uri="http://www.w3.org/XML/1998/namespace"/>
    <ds:schemaRef ds:uri="http://purl.org/dc/dcmitype/"/>
  </ds:schemaRefs>
</ds:datastoreItem>
</file>

<file path=customXml/itemProps2.xml><?xml version="1.0" encoding="utf-8"?>
<ds:datastoreItem xmlns:ds="http://schemas.openxmlformats.org/officeDocument/2006/customXml" ds:itemID="{DAE78345-3A82-411F-9B99-F1210F009D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306C03F2-49B0-4A1B-93EB-C0C4670654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Cover Page</vt:lpstr>
      <vt:lpstr>Payment Calculation Overview</vt:lpstr>
      <vt:lpstr>Step 1. Hospital Baseline</vt:lpstr>
      <vt:lpstr>Step 2. Volume Based Adj.</vt:lpstr>
      <vt:lpstr>Step 3. Reflect FFS</vt:lpstr>
      <vt:lpstr>Step 4. AHEAD Specfic Adj</vt:lpstr>
      <vt:lpstr>Dropdowns</vt:lpstr>
      <vt:lpstr>Step 4a. CAH Quality Measures</vt:lpstr>
      <vt:lpstr>Step 4b. CAH Quality Adj</vt:lpstr>
      <vt:lpstr>Dropdowns (2)</vt:lpstr>
      <vt:lpstr>PY Selection</vt:lpstr>
      <vt:lpstr>Step 5. Final HGB</vt:lpstr>
      <vt:lpstr>Quality Results</vt:lpstr>
      <vt:lpstr>SRA Look Up Table</vt:lpstr>
      <vt:lpstr>EA Look Up table</vt:lpstr>
      <vt:lpstr>CIB Look Up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Abramowitz, Ben</dc:creator>
  <cp:keywords/>
  <dc:description/>
  <cp:lastModifiedBy>Rushton, Andrew (CMS/CMMI)</cp:lastModifiedBy>
  <cp:revision/>
  <dcterms:created xsi:type="dcterms:W3CDTF">2025-02-06T17:27:12Z</dcterms:created>
  <dcterms:modified xsi:type="dcterms:W3CDTF">2025-08-07T14:16:43Z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0x01010022324E65690287459503ECF4E0C32546</vt:lpwstr>
  </property>
  <property fmtid="{D5CDD505-2E9C-101B-9397-08002B2CF9AE}" pid="3" name="MediaServiceImageTags">
    <vt:lpwstr/>
  </property>
</Properties>
</file>