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90" yWindow="-15" windowWidth="4725" windowHeight="2580"/>
  </bookViews>
  <sheets>
    <sheet name="table5.1" sheetId="1" r:id="rId1"/>
  </sheets>
  <definedNames>
    <definedName name="_Regression_Int" localSheetId="0" hidden="1">1</definedName>
    <definedName name="_xlnm.Print_Area" localSheetId="0">table5.1!$A$1:$AD$188</definedName>
    <definedName name="Print_Area_MI" localSheetId="0">table5.1!$A$1:$AD$188</definedName>
  </definedNames>
  <calcPr calcId="125725"/>
</workbook>
</file>

<file path=xl/calcChain.xml><?xml version="1.0" encoding="utf-8"?>
<calcChain xmlns="http://schemas.openxmlformats.org/spreadsheetml/2006/main">
  <c r="AC172" i="1"/>
  <c r="W172"/>
  <c r="AC109"/>
  <c r="W109"/>
  <c r="W47"/>
  <c r="AC47"/>
  <c r="AA172"/>
  <c r="Y172"/>
  <c r="L172"/>
  <c r="AA47"/>
  <c r="Y47"/>
  <c r="L47"/>
  <c r="AA109"/>
  <c r="Y109"/>
  <c r="L109"/>
  <c r="W171"/>
  <c r="W108"/>
  <c r="W45"/>
  <c r="W46"/>
  <c r="AC171"/>
  <c r="AC108"/>
  <c r="AC46"/>
  <c r="AA46"/>
  <c r="Y46"/>
  <c r="L46"/>
  <c r="AA108"/>
  <c r="Y108"/>
  <c r="L108"/>
  <c r="AA171"/>
  <c r="Y171"/>
  <c r="L171"/>
  <c r="W107"/>
  <c r="W170"/>
  <c r="AC170"/>
  <c r="AC107"/>
  <c r="AC45"/>
  <c r="Y170"/>
  <c r="L170"/>
  <c r="AA170"/>
  <c r="Y107"/>
  <c r="L107"/>
  <c r="AA107"/>
  <c r="Y10"/>
  <c r="Y45"/>
  <c r="W10"/>
  <c r="L10"/>
  <c r="L45"/>
  <c r="Y21"/>
  <c r="W21"/>
  <c r="AA45"/>
  <c r="AC169"/>
  <c r="W169"/>
  <c r="AC106"/>
  <c r="W106"/>
  <c r="AC44"/>
  <c r="W44"/>
  <c r="Y169"/>
  <c r="Y137"/>
  <c r="W137"/>
  <c r="L169"/>
  <c r="L137"/>
  <c r="Y146"/>
  <c r="W146"/>
  <c r="Y106"/>
  <c r="Y72"/>
  <c r="W72"/>
  <c r="L106"/>
  <c r="L72"/>
  <c r="Y83"/>
  <c r="W83"/>
  <c r="Y44"/>
  <c r="L44"/>
  <c r="AA169"/>
  <c r="AA106"/>
  <c r="AA44"/>
  <c r="AC168"/>
  <c r="AC105"/>
  <c r="AC43"/>
  <c r="W168"/>
  <c r="W105"/>
  <c r="Y168"/>
  <c r="L168"/>
  <c r="Y105"/>
  <c r="L105"/>
  <c r="Y43"/>
  <c r="W43"/>
  <c r="L43"/>
  <c r="AA105"/>
  <c r="AA168"/>
  <c r="AA43"/>
  <c r="AC167"/>
  <c r="W167"/>
  <c r="AC104"/>
  <c r="W104"/>
  <c r="AC42"/>
  <c r="W42"/>
  <c r="Y42"/>
  <c r="L42"/>
  <c r="Y104"/>
  <c r="L104"/>
  <c r="Y167"/>
  <c r="L167"/>
  <c r="AA167"/>
  <c r="AA104"/>
  <c r="AA42"/>
  <c r="AC166"/>
  <c r="AC103"/>
  <c r="AC41"/>
  <c r="W166"/>
  <c r="W103"/>
  <c r="W41"/>
  <c r="Y41"/>
  <c r="L41"/>
  <c r="Y103"/>
  <c r="L103"/>
  <c r="Y166"/>
  <c r="L166"/>
  <c r="AA166"/>
  <c r="AA103"/>
  <c r="AA41"/>
  <c r="W165"/>
  <c r="W102"/>
  <c r="W40"/>
  <c r="AC165"/>
  <c r="AC102"/>
  <c r="AC40"/>
  <c r="Y165"/>
  <c r="L165"/>
  <c r="Y102"/>
  <c r="L102"/>
  <c r="Y40"/>
  <c r="L40"/>
  <c r="AA165"/>
  <c r="AA102"/>
  <c r="AA40"/>
  <c r="AC137"/>
  <c r="AC138"/>
  <c r="AC139"/>
  <c r="AC140"/>
  <c r="AC141"/>
  <c r="AC142"/>
  <c r="AC143"/>
  <c r="AC144"/>
  <c r="AC145"/>
  <c r="AC146"/>
  <c r="AC147"/>
  <c r="AC148"/>
  <c r="AC149"/>
  <c r="AC150"/>
  <c r="AC151"/>
  <c r="AC152"/>
  <c r="AC153"/>
  <c r="AC154"/>
  <c r="AC155"/>
  <c r="AC156"/>
  <c r="AC157"/>
  <c r="AC158"/>
  <c r="AC159"/>
  <c r="AC160"/>
  <c r="AC161"/>
  <c r="AC162"/>
  <c r="AC163"/>
  <c r="AC164"/>
  <c r="AC101"/>
  <c r="AC100"/>
  <c r="AC99"/>
  <c r="AC98"/>
  <c r="AC97"/>
  <c r="AC96"/>
  <c r="AC95"/>
  <c r="AC94"/>
  <c r="AC93"/>
  <c r="AC92"/>
  <c r="AC91"/>
  <c r="AC90"/>
  <c r="AC89"/>
  <c r="AC88"/>
  <c r="AC87"/>
  <c r="AC86"/>
  <c r="AC85"/>
  <c r="AC84"/>
  <c r="AC83"/>
  <c r="AC82"/>
  <c r="AC81"/>
  <c r="AC80"/>
  <c r="AC79"/>
  <c r="AC78"/>
  <c r="AC77"/>
  <c r="AC76"/>
  <c r="AC75"/>
  <c r="AC74"/>
  <c r="AC73"/>
  <c r="AC72"/>
  <c r="AC39"/>
  <c r="AC38"/>
  <c r="AC37"/>
  <c r="AC36"/>
  <c r="AC35"/>
  <c r="AC34"/>
  <c r="AC33"/>
  <c r="AC32"/>
  <c r="AC31"/>
  <c r="AC30"/>
  <c r="AC29"/>
  <c r="AC28"/>
  <c r="AC27"/>
  <c r="AC26"/>
  <c r="AC25"/>
  <c r="AC24"/>
  <c r="AC23"/>
  <c r="AC22"/>
  <c r="AC21"/>
  <c r="AC20"/>
  <c r="AC19"/>
  <c r="AC18"/>
  <c r="AC17"/>
  <c r="AC16"/>
  <c r="AC15"/>
  <c r="AC14"/>
  <c r="AC13"/>
  <c r="AC12"/>
  <c r="AC11"/>
  <c r="AC10"/>
  <c r="W164"/>
  <c r="W101"/>
  <c r="W39"/>
  <c r="L163"/>
  <c r="L164"/>
  <c r="Y164"/>
  <c r="AA164"/>
  <c r="Y101"/>
  <c r="L101"/>
  <c r="AA101"/>
  <c r="Y39"/>
  <c r="L39"/>
  <c r="AA39"/>
  <c r="W163"/>
  <c r="W100"/>
  <c r="W38"/>
  <c r="Y163"/>
  <c r="AA162"/>
  <c r="Y162"/>
  <c r="W162"/>
  <c r="L162"/>
  <c r="Y100"/>
  <c r="L100"/>
  <c r="AA99"/>
  <c r="Y99"/>
  <c r="W99"/>
  <c r="L99"/>
  <c r="Y38"/>
  <c r="L38"/>
  <c r="AA37"/>
  <c r="Y37"/>
  <c r="W37"/>
  <c r="L37"/>
  <c r="L143"/>
  <c r="L141"/>
  <c r="L140"/>
  <c r="L139"/>
  <c r="AA155"/>
  <c r="AA156"/>
  <c r="AA157"/>
  <c r="AA100"/>
  <c r="AA98"/>
  <c r="AA97"/>
  <c r="AA96"/>
  <c r="AA95"/>
  <c r="AA94"/>
  <c r="AA93"/>
  <c r="AA92"/>
  <c r="W157"/>
  <c r="W158"/>
  <c r="W159"/>
  <c r="W160"/>
  <c r="W94"/>
  <c r="W95"/>
  <c r="W96"/>
  <c r="W97"/>
  <c r="W93"/>
  <c r="W92"/>
  <c r="AA33"/>
  <c r="AA32"/>
  <c r="AA31"/>
  <c r="AA30"/>
  <c r="Y33"/>
  <c r="Y32"/>
  <c r="Y31"/>
  <c r="Y30"/>
  <c r="W33"/>
  <c r="W32"/>
  <c r="W31"/>
  <c r="W30"/>
  <c r="AA163"/>
  <c r="AA38"/>
  <c r="W161"/>
  <c r="AA161"/>
  <c r="Y161"/>
  <c r="L161"/>
  <c r="W98"/>
  <c r="W36"/>
  <c r="Y98"/>
  <c r="L98"/>
  <c r="AA36"/>
  <c r="Y36"/>
  <c r="L36"/>
  <c r="W34"/>
  <c r="W35"/>
  <c r="Y158"/>
  <c r="Y160"/>
  <c r="L158"/>
  <c r="L160"/>
  <c r="AA160"/>
  <c r="AA159"/>
  <c r="AA158"/>
  <c r="Y97"/>
  <c r="L97"/>
  <c r="Y35"/>
  <c r="L35"/>
  <c r="AA35"/>
  <c r="Y96"/>
  <c r="L96"/>
  <c r="Y34"/>
  <c r="L34"/>
  <c r="Y159"/>
  <c r="L159"/>
  <c r="AA34"/>
  <c r="L95"/>
  <c r="L33"/>
  <c r="L157"/>
  <c r="L156"/>
  <c r="L155"/>
  <c r="AA154"/>
  <c r="Y154"/>
  <c r="W154"/>
  <c r="L154"/>
  <c r="AA153"/>
  <c r="Y153"/>
  <c r="W153"/>
  <c r="L153"/>
  <c r="D153"/>
  <c r="Y152"/>
  <c r="W152"/>
  <c r="D152"/>
  <c r="Y151"/>
  <c r="W151"/>
  <c r="D151"/>
  <c r="Y150"/>
  <c r="W150"/>
  <c r="D150"/>
  <c r="Y149"/>
  <c r="W149"/>
  <c r="D149"/>
  <c r="Y148"/>
  <c r="W148"/>
  <c r="I148"/>
  <c r="D148"/>
  <c r="Y147"/>
  <c r="W147"/>
  <c r="D147"/>
  <c r="D146"/>
  <c r="Y145"/>
  <c r="W145"/>
  <c r="D145"/>
  <c r="Y144"/>
  <c r="W144"/>
  <c r="D144"/>
  <c r="Y143"/>
  <c r="W143"/>
  <c r="D143"/>
  <c r="Y142"/>
  <c r="W142"/>
  <c r="D142"/>
  <c r="Y141"/>
  <c r="W141"/>
  <c r="D141"/>
  <c r="Y140"/>
  <c r="W140"/>
  <c r="D140"/>
  <c r="Y139"/>
  <c r="W139"/>
  <c r="D139"/>
  <c r="Y138"/>
  <c r="W138"/>
  <c r="L138"/>
  <c r="D138"/>
  <c r="D137"/>
  <c r="L94"/>
  <c r="L93"/>
  <c r="L92"/>
  <c r="AA91"/>
  <c r="Y91"/>
  <c r="W91"/>
  <c r="L91"/>
  <c r="AA90"/>
  <c r="Y90"/>
  <c r="W90"/>
  <c r="L90"/>
  <c r="D90"/>
  <c r="Y89"/>
  <c r="W89"/>
  <c r="D89"/>
  <c r="Y88"/>
  <c r="W88"/>
  <c r="D88"/>
  <c r="Y87"/>
  <c r="W87"/>
  <c r="D87"/>
  <c r="Y86"/>
  <c r="W86"/>
  <c r="D86"/>
  <c r="Y85"/>
  <c r="W85"/>
  <c r="I85"/>
  <c r="D85"/>
  <c r="Y84"/>
  <c r="W84"/>
  <c r="D84"/>
  <c r="D83"/>
  <c r="Y82"/>
  <c r="W82"/>
  <c r="D82"/>
  <c r="Y81"/>
  <c r="W81"/>
  <c r="D81"/>
  <c r="Y80"/>
  <c r="W80"/>
  <c r="D80"/>
  <c r="Y79"/>
  <c r="W79"/>
  <c r="D79"/>
  <c r="Y78"/>
  <c r="W78"/>
  <c r="D78"/>
  <c r="Y77"/>
  <c r="W77"/>
  <c r="D77"/>
  <c r="Y76"/>
  <c r="W76"/>
  <c r="D76"/>
  <c r="Y75"/>
  <c r="W75"/>
  <c r="L75"/>
  <c r="D75"/>
  <c r="Y74"/>
  <c r="W74"/>
  <c r="L74"/>
  <c r="D74"/>
  <c r="Y73"/>
  <c r="W73"/>
  <c r="L73"/>
  <c r="D73"/>
  <c r="D72"/>
  <c r="S55"/>
  <c r="S56" s="1"/>
  <c r="S52"/>
  <c r="L32"/>
  <c r="L31"/>
  <c r="L30"/>
  <c r="AA29"/>
  <c r="Y29"/>
  <c r="W29"/>
  <c r="Q29"/>
  <c r="L29"/>
  <c r="D29"/>
  <c r="AA28"/>
  <c r="Y28"/>
  <c r="W28"/>
  <c r="D28"/>
  <c r="Y27"/>
  <c r="W27"/>
  <c r="D27"/>
  <c r="Y26"/>
  <c r="W26"/>
  <c r="D26"/>
  <c r="Y25"/>
  <c r="W25"/>
  <c r="I25"/>
  <c r="D25"/>
  <c r="Y24"/>
  <c r="W24"/>
  <c r="I24"/>
  <c r="D24"/>
  <c r="Y23"/>
  <c r="W23"/>
  <c r="I23"/>
  <c r="D23"/>
  <c r="Y22"/>
  <c r="W22"/>
  <c r="D22"/>
  <c r="D21"/>
  <c r="Y20"/>
  <c r="W20"/>
  <c r="D20"/>
  <c r="Y19"/>
  <c r="W19"/>
  <c r="D19"/>
  <c r="Y18"/>
  <c r="W18"/>
  <c r="D18"/>
  <c r="Y17"/>
  <c r="W17"/>
  <c r="D17"/>
  <c r="Y16"/>
  <c r="W16"/>
  <c r="D16"/>
  <c r="Y15"/>
  <c r="W15"/>
  <c r="L15"/>
  <c r="D15"/>
  <c r="Y14"/>
  <c r="W14"/>
  <c r="L14"/>
  <c r="D14"/>
  <c r="Y13"/>
  <c r="W13"/>
  <c r="L13"/>
  <c r="D13"/>
  <c r="Y12"/>
  <c r="W12"/>
  <c r="L12"/>
  <c r="D12"/>
  <c r="Y11"/>
  <c r="W11"/>
  <c r="L11"/>
  <c r="D11"/>
  <c r="D10"/>
</calcChain>
</file>

<file path=xl/sharedStrings.xml><?xml version="1.0" encoding="utf-8"?>
<sst xmlns="http://schemas.openxmlformats.org/spreadsheetml/2006/main" count="274" uniqueCount="94">
  <si>
    <t>Discharges, Total Days of Care, Total Charges, and Program Payments for Medicare</t>
  </si>
  <si>
    <t xml:space="preserve">Beneficiaries Discharged from Short-Stay Hospitals, by Type of Entitlement: </t>
  </si>
  <si>
    <t>Discharges</t>
  </si>
  <si>
    <t xml:space="preserve">                           Total Days of Care</t>
  </si>
  <si>
    <t xml:space="preserve">          Total Charges</t>
  </si>
  <si>
    <t xml:space="preserve">                          Program Payments</t>
  </si>
  <si>
    <t xml:space="preserve">Type of </t>
  </si>
  <si>
    <t>Number</t>
  </si>
  <si>
    <t>Rate per</t>
  </si>
  <si>
    <t>Amount</t>
  </si>
  <si>
    <t>Percent</t>
  </si>
  <si>
    <t>Percent of</t>
  </si>
  <si>
    <t>Entitlement</t>
  </si>
  <si>
    <t>in</t>
  </si>
  <si>
    <t>1,000 HI</t>
  </si>
  <si>
    <t>Per</t>
  </si>
  <si>
    <t>Per HI</t>
  </si>
  <si>
    <t>of Total</t>
  </si>
  <si>
    <t>Total Medicare</t>
  </si>
  <si>
    <t>and Year</t>
  </si>
  <si>
    <t>Thousands</t>
  </si>
  <si>
    <t>Enrollees</t>
  </si>
  <si>
    <t>Discharge</t>
  </si>
  <si>
    <t>Millions</t>
  </si>
  <si>
    <t>Enrollee</t>
  </si>
  <si>
    <t>Day</t>
  </si>
  <si>
    <t>Charges</t>
  </si>
  <si>
    <t>All Beneficiaries</t>
  </si>
  <si>
    <t>1972</t>
  </si>
  <si>
    <t>1973</t>
  </si>
  <si>
    <t>1974</t>
  </si>
  <si>
    <t>1975</t>
  </si>
  <si>
    <t xml:space="preserve">1976 </t>
  </si>
  <si>
    <t>1977</t>
  </si>
  <si>
    <t xml:space="preserve">1978 </t>
  </si>
  <si>
    <t>1979</t>
  </si>
  <si>
    <t>1980</t>
  </si>
  <si>
    <t>1981</t>
  </si>
  <si>
    <t>1982</t>
  </si>
  <si>
    <t>1983</t>
  </si>
  <si>
    <t>1984</t>
  </si>
  <si>
    <t>1985</t>
  </si>
  <si>
    <t>1986</t>
  </si>
  <si>
    <t>1987</t>
  </si>
  <si>
    <t>1988</t>
  </si>
  <si>
    <t>Aged Beneficiaries</t>
  </si>
  <si>
    <t xml:space="preserve">1988 </t>
  </si>
  <si>
    <t xml:space="preserve">                          Total Days of Care</t>
  </si>
  <si>
    <t xml:space="preserve">         Total Charges</t>
  </si>
  <si>
    <t>Disabled Beneficiaries</t>
  </si>
  <si>
    <t>program payments were reported.</t>
  </si>
  <si>
    <t>Table 5.1</t>
  </si>
  <si>
    <t>Table 5.1—Continued</t>
  </si>
  <si>
    <r>
      <t xml:space="preserve">1989 </t>
    </r>
    <r>
      <rPr>
        <vertAlign val="superscript"/>
        <sz val="7"/>
        <rFont val="Arial"/>
        <family val="2"/>
      </rPr>
      <t>3</t>
    </r>
  </si>
  <si>
    <r>
      <t xml:space="preserve">1991 </t>
    </r>
    <r>
      <rPr>
        <vertAlign val="superscript"/>
        <sz val="7"/>
        <rFont val="Arial"/>
        <family val="2"/>
      </rPr>
      <t>4</t>
    </r>
  </si>
  <si>
    <r>
      <t xml:space="preserve">1992 </t>
    </r>
    <r>
      <rPr>
        <vertAlign val="superscript"/>
        <sz val="7"/>
        <rFont val="Arial"/>
        <family val="2"/>
      </rPr>
      <t>4</t>
    </r>
  </si>
  <si>
    <r>
      <t xml:space="preserve">1993 </t>
    </r>
    <r>
      <rPr>
        <vertAlign val="superscript"/>
        <sz val="7"/>
        <rFont val="Arial"/>
        <family val="2"/>
      </rPr>
      <t>4</t>
    </r>
  </si>
  <si>
    <r>
      <t xml:space="preserve">1994 </t>
    </r>
    <r>
      <rPr>
        <vertAlign val="superscript"/>
        <sz val="7"/>
        <rFont val="Arial"/>
        <family val="2"/>
      </rPr>
      <t>4</t>
    </r>
  </si>
  <si>
    <r>
      <t xml:space="preserve">1995 </t>
    </r>
    <r>
      <rPr>
        <vertAlign val="superscript"/>
        <sz val="7"/>
        <rFont val="Arial"/>
        <family val="2"/>
      </rPr>
      <t>4</t>
    </r>
  </si>
  <si>
    <r>
      <t xml:space="preserve">1996 </t>
    </r>
    <r>
      <rPr>
        <vertAlign val="superscript"/>
        <sz val="7"/>
        <rFont val="Arial"/>
        <family val="2"/>
      </rPr>
      <t>4</t>
    </r>
  </si>
  <si>
    <r>
      <t xml:space="preserve">1997 </t>
    </r>
    <r>
      <rPr>
        <vertAlign val="superscript"/>
        <sz val="7"/>
        <rFont val="Arial"/>
        <family val="2"/>
      </rPr>
      <t>4</t>
    </r>
  </si>
  <si>
    <r>
      <t xml:space="preserve">1998 </t>
    </r>
    <r>
      <rPr>
        <vertAlign val="superscript"/>
        <sz val="7"/>
        <rFont val="Arial"/>
        <family val="2"/>
      </rPr>
      <t>4</t>
    </r>
  </si>
  <si>
    <r>
      <t xml:space="preserve">1999 </t>
    </r>
    <r>
      <rPr>
        <vertAlign val="superscript"/>
        <sz val="7"/>
        <rFont val="Arial"/>
        <family val="2"/>
      </rPr>
      <t>4</t>
    </r>
  </si>
  <si>
    <r>
      <t xml:space="preserve">2000 </t>
    </r>
    <r>
      <rPr>
        <vertAlign val="superscript"/>
        <sz val="7"/>
        <rFont val="Arial"/>
        <family val="2"/>
      </rPr>
      <t>4</t>
    </r>
  </si>
  <si>
    <r>
      <t xml:space="preserve">2001 </t>
    </r>
    <r>
      <rPr>
        <vertAlign val="superscript"/>
        <sz val="7"/>
        <rFont val="Arial"/>
        <family val="2"/>
      </rPr>
      <t>4</t>
    </r>
  </si>
  <si>
    <r>
      <t xml:space="preserve">2002 </t>
    </r>
    <r>
      <rPr>
        <vertAlign val="superscript"/>
        <sz val="7"/>
        <rFont val="Arial"/>
        <family val="2"/>
      </rPr>
      <t>4</t>
    </r>
  </si>
  <si>
    <r>
      <t xml:space="preserve">2003 </t>
    </r>
    <r>
      <rPr>
        <vertAlign val="superscript"/>
        <sz val="7"/>
        <rFont val="Arial"/>
        <family val="2"/>
      </rPr>
      <t>4</t>
    </r>
  </si>
  <si>
    <r>
      <t xml:space="preserve">2004 </t>
    </r>
    <r>
      <rPr>
        <vertAlign val="superscript"/>
        <sz val="7"/>
        <rFont val="Arial"/>
        <family val="2"/>
      </rPr>
      <t>4</t>
    </r>
  </si>
  <si>
    <r>
      <t xml:space="preserve">2005 </t>
    </r>
    <r>
      <rPr>
        <vertAlign val="superscript"/>
        <sz val="7"/>
        <rFont val="Arial"/>
        <family val="2"/>
      </rPr>
      <t>4</t>
    </r>
  </si>
  <si>
    <r>
      <t xml:space="preserve">2006 </t>
    </r>
    <r>
      <rPr>
        <vertAlign val="superscript"/>
        <sz val="7"/>
        <rFont val="Arial"/>
        <family val="2"/>
      </rPr>
      <t>4</t>
    </r>
  </si>
  <si>
    <r>
      <t>1994</t>
    </r>
    <r>
      <rPr>
        <vertAlign val="superscript"/>
        <sz val="8"/>
        <rFont val="Arial"/>
        <family val="2"/>
      </rPr>
      <t xml:space="preserve"> </t>
    </r>
    <r>
      <rPr>
        <vertAlign val="superscript"/>
        <sz val="7"/>
        <rFont val="Arial"/>
        <family val="2"/>
      </rPr>
      <t>4</t>
    </r>
  </si>
  <si>
    <r>
      <t>1995</t>
    </r>
    <r>
      <rPr>
        <vertAlign val="superscript"/>
        <sz val="8"/>
        <rFont val="Arial"/>
        <family val="2"/>
      </rPr>
      <t xml:space="preserve"> </t>
    </r>
    <r>
      <rPr>
        <vertAlign val="superscript"/>
        <sz val="7"/>
        <rFont val="Arial"/>
        <family val="2"/>
      </rPr>
      <t>4</t>
    </r>
  </si>
  <si>
    <r>
      <t>1996</t>
    </r>
    <r>
      <rPr>
        <vertAlign val="superscript"/>
        <sz val="8"/>
        <rFont val="Arial"/>
        <family val="2"/>
      </rPr>
      <t xml:space="preserve"> </t>
    </r>
    <r>
      <rPr>
        <vertAlign val="superscript"/>
        <sz val="7"/>
        <rFont val="Arial"/>
        <family val="2"/>
      </rPr>
      <t>4</t>
    </r>
  </si>
  <si>
    <r>
      <t>1974</t>
    </r>
    <r>
      <rPr>
        <vertAlign val="superscript"/>
        <sz val="8"/>
        <rFont val="Arial"/>
        <family val="2"/>
      </rPr>
      <t xml:space="preserve"> </t>
    </r>
    <r>
      <rPr>
        <vertAlign val="superscript"/>
        <sz val="7"/>
        <rFont val="Arial"/>
        <family val="2"/>
      </rPr>
      <t>5</t>
    </r>
  </si>
  <si>
    <r>
      <t>1</t>
    </r>
    <r>
      <rPr>
        <sz val="7"/>
        <rFont val="Arial"/>
        <family val="2"/>
      </rPr>
      <t xml:space="preserve">Beginning in 1990, the average program payment per discharge does not reflect discharges with covered services, but for whom no </t>
    </r>
  </si>
  <si>
    <r>
      <t>2</t>
    </r>
    <r>
      <rPr>
        <sz val="7"/>
        <rFont val="Arial"/>
        <family val="2"/>
      </rPr>
      <t>Based on total Medicare program payments.</t>
    </r>
  </si>
  <si>
    <r>
      <t>3</t>
    </r>
    <r>
      <rPr>
        <sz val="7"/>
        <rFont val="Arial"/>
        <family val="2"/>
      </rPr>
      <t>Represents the only year that the Medicare Catastrophic Coverage Act of 1988 was in effect.</t>
    </r>
  </si>
  <si>
    <r>
      <t>Discharge</t>
    </r>
    <r>
      <rPr>
        <vertAlign val="superscript"/>
        <sz val="8"/>
        <rFont val="Arial"/>
        <family val="2"/>
      </rPr>
      <t>1</t>
    </r>
  </si>
  <si>
    <r>
      <t xml:space="preserve">Payments </t>
    </r>
    <r>
      <rPr>
        <vertAlign val="superscript"/>
        <sz val="8"/>
        <rFont val="Arial"/>
        <family val="2"/>
      </rPr>
      <t>2</t>
    </r>
  </si>
  <si>
    <r>
      <t xml:space="preserve">2007 </t>
    </r>
    <r>
      <rPr>
        <vertAlign val="superscript"/>
        <sz val="7"/>
        <rFont val="Arial"/>
        <family val="2"/>
      </rPr>
      <t>4</t>
    </r>
  </si>
  <si>
    <r>
      <t xml:space="preserve">2008 </t>
    </r>
    <r>
      <rPr>
        <vertAlign val="superscript"/>
        <sz val="7"/>
        <rFont val="Arial"/>
        <family val="2"/>
      </rPr>
      <t>4</t>
    </r>
  </si>
  <si>
    <t>Calendar Years 1972-2009</t>
  </si>
  <si>
    <r>
      <t xml:space="preserve">2009 </t>
    </r>
    <r>
      <rPr>
        <vertAlign val="superscript"/>
        <sz val="7"/>
        <rFont val="Arial"/>
        <family val="2"/>
      </rPr>
      <t>4</t>
    </r>
  </si>
  <si>
    <t>Removed AARC (average annual rate of change)</t>
  </si>
  <si>
    <r>
      <t>4</t>
    </r>
    <r>
      <rPr>
        <sz val="7"/>
        <rFont val="Arial"/>
        <family val="2"/>
      </rPr>
      <t>This table was revised from earlier editions for years 1991-1998 to exclude discharges from short-stay hospitals that were paid for by Medicare managed</t>
    </r>
  </si>
  <si>
    <t>care plans, thus yielding fee-for-service utilization only for those years. Data for years prior to 1991 were not revised. However, these managed care</t>
  </si>
  <si>
    <t>calculations.</t>
  </si>
  <si>
    <t xml:space="preserve">enrollees were included in calculating all user rates per enrollee until 1994. Beginning with 1994, Medicare  managed care enrollees are excluded from all </t>
  </si>
  <si>
    <r>
      <t>5</t>
    </r>
    <r>
      <rPr>
        <sz val="7"/>
        <rFont val="Arial"/>
        <family val="2"/>
      </rPr>
      <t xml:space="preserve">Effective July 1, 1973, Medicare coverage was extended to disabled beneficiaries under the Social Security and Railroad Retirement  Programs. Coverage </t>
    </r>
  </si>
  <si>
    <t>was also extended to persons under 65 years of age who require dialysis or a kidney transplant for end stage renal disease. Public Law 95-292 removed</t>
  </si>
  <si>
    <t>the under age 65 restriction for persons with end stage renal disease, effective October 1978.</t>
  </si>
  <si>
    <t xml:space="preserve">SOURCE: Centers for Medicare &amp; Medicaid Services, Office of Information Services: Data from the MEDPAR files: Medicare Provider Analysis and Review; </t>
  </si>
  <si>
    <t>data development by the Office of Research, Development, and Information.</t>
  </si>
  <si>
    <t xml:space="preserve">NOTES: Medicare program payments represent fee-for-service only and exclude amounts paid for managed care services. HI is hospital Insurance. </t>
  </si>
</sst>
</file>

<file path=xl/styles.xml><?xml version="1.0" encoding="utf-8"?>
<styleSheet xmlns="http://schemas.openxmlformats.org/spreadsheetml/2006/main">
  <numFmts count="4">
    <numFmt numFmtId="5" formatCode="&quot;$&quot;#,##0_);\(&quot;$&quot;#,##0\)"/>
    <numFmt numFmtId="164" formatCode="General_)"/>
    <numFmt numFmtId="165" formatCode="0.0_)"/>
    <numFmt numFmtId="166" formatCode=";;;"/>
  </numFmts>
  <fonts count="16">
    <font>
      <sz val="6"/>
      <name val="Helv"/>
    </font>
    <font>
      <sz val="8"/>
      <name val="Helv"/>
    </font>
    <font>
      <sz val="10"/>
      <name val="Helv"/>
    </font>
    <font>
      <b/>
      <sz val="10"/>
      <name val="Arial"/>
      <family val="2"/>
    </font>
    <font>
      <sz val="6"/>
      <name val="Arial"/>
      <family val="2"/>
    </font>
    <font>
      <b/>
      <sz val="11"/>
      <name val="Arial"/>
      <family val="2"/>
    </font>
    <font>
      <sz val="10"/>
      <name val="Arial"/>
      <family val="2"/>
    </font>
    <font>
      <sz val="9"/>
      <name val="Arial"/>
      <family val="2"/>
    </font>
    <font>
      <vertAlign val="superscript"/>
      <sz val="7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name val="Arial"/>
      <family val="2"/>
    </font>
    <font>
      <vertAlign val="superscript"/>
      <sz val="8"/>
      <name val="Arial"/>
      <family val="2"/>
    </font>
    <font>
      <vertAlign val="superscript"/>
      <sz val="6"/>
      <name val="Arial"/>
      <family val="2"/>
    </font>
    <font>
      <sz val="7"/>
      <name val="Arial"/>
      <family val="2"/>
    </font>
    <font>
      <sz val="11"/>
      <name val="Helv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164" fontId="0" fillId="0" borderId="0"/>
  </cellStyleXfs>
  <cellXfs count="81">
    <xf numFmtId="164" fontId="0" fillId="0" borderId="0" xfId="0"/>
    <xf numFmtId="164" fontId="0" fillId="0" borderId="0" xfId="0" applyBorder="1" applyAlignment="1">
      <alignment vertical="top"/>
    </xf>
    <xf numFmtId="164" fontId="0" fillId="0" borderId="0" xfId="0" applyBorder="1" applyAlignment="1"/>
    <xf numFmtId="164" fontId="0" fillId="0" borderId="0" xfId="0" applyBorder="1" applyAlignment="1">
      <alignment vertical="center"/>
    </xf>
    <xf numFmtId="164" fontId="0" fillId="0" borderId="0" xfId="0" applyBorder="1"/>
    <xf numFmtId="164" fontId="2" fillId="0" borderId="0" xfId="0" applyFont="1" applyBorder="1" applyAlignment="1">
      <alignment vertical="top"/>
    </xf>
    <xf numFmtId="164" fontId="2" fillId="0" borderId="0" xfId="0" applyFont="1" applyBorder="1" applyAlignment="1"/>
    <xf numFmtId="164" fontId="2" fillId="0" borderId="0" xfId="0" applyFont="1" applyBorder="1" applyAlignment="1">
      <alignment vertical="center"/>
    </xf>
    <xf numFmtId="164" fontId="1" fillId="0" borderId="0" xfId="0" applyFont="1" applyBorder="1"/>
    <xf numFmtId="164" fontId="3" fillId="0" borderId="0" xfId="0" applyFont="1" applyAlignment="1" applyProtection="1">
      <alignment horizontal="centerContinuous" vertical="top"/>
    </xf>
    <xf numFmtId="164" fontId="3" fillId="0" borderId="0" xfId="0" applyFont="1" applyAlignment="1">
      <alignment horizontal="centerContinuous" vertical="top"/>
    </xf>
    <xf numFmtId="164" fontId="4" fillId="0" borderId="0" xfId="0" applyFont="1" applyAlignment="1">
      <alignment horizontal="centerContinuous" vertical="top"/>
    </xf>
    <xf numFmtId="164" fontId="5" fillId="0" borderId="0" xfId="0" applyFont="1" applyAlignment="1">
      <alignment horizontal="centerContinuous" vertical="top"/>
    </xf>
    <xf numFmtId="164" fontId="5" fillId="0" borderId="0" xfId="0" applyFont="1" applyAlignment="1">
      <alignment vertical="top"/>
    </xf>
    <xf numFmtId="164" fontId="6" fillId="0" borderId="0" xfId="0" applyFont="1" applyAlignment="1">
      <alignment horizontal="centerContinuous" vertical="top"/>
    </xf>
    <xf numFmtId="164" fontId="4" fillId="0" borderId="0" xfId="0" applyFont="1" applyBorder="1" applyAlignment="1">
      <alignment vertical="top"/>
    </xf>
    <xf numFmtId="164" fontId="3" fillId="0" borderId="0" xfId="0" applyFont="1" applyAlignment="1" applyProtection="1">
      <alignment horizontal="centerContinuous"/>
    </xf>
    <xf numFmtId="164" fontId="3" fillId="0" borderId="0" xfId="0" applyFont="1" applyAlignment="1">
      <alignment horizontal="centerContinuous"/>
    </xf>
    <xf numFmtId="164" fontId="5" fillId="0" borderId="0" xfId="0" applyFont="1" applyAlignment="1">
      <alignment horizontal="centerContinuous"/>
    </xf>
    <xf numFmtId="164" fontId="5" fillId="0" borderId="0" xfId="0" applyFont="1" applyAlignment="1"/>
    <xf numFmtId="164" fontId="4" fillId="0" borderId="0" xfId="0" applyFont="1" applyBorder="1" applyAlignment="1"/>
    <xf numFmtId="164" fontId="3" fillId="0" borderId="0" xfId="0" applyFont="1" applyAlignment="1" applyProtection="1">
      <alignment horizontal="centerContinuous" vertical="center"/>
    </xf>
    <xf numFmtId="164" fontId="6" fillId="0" borderId="0" xfId="0" applyFont="1" applyAlignment="1">
      <alignment horizontal="centerContinuous" vertical="center"/>
    </xf>
    <xf numFmtId="164" fontId="3" fillId="0" borderId="0" xfId="0" applyFont="1" applyAlignment="1">
      <alignment horizontal="centerContinuous" vertical="center"/>
    </xf>
    <xf numFmtId="164" fontId="5" fillId="0" borderId="0" xfId="0" applyFont="1" applyAlignment="1">
      <alignment horizontal="centerContinuous" vertical="center"/>
    </xf>
    <xf numFmtId="164" fontId="5" fillId="0" borderId="0" xfId="0" applyFont="1" applyAlignment="1">
      <alignment vertical="center"/>
    </xf>
    <xf numFmtId="164" fontId="4" fillId="0" borderId="0" xfId="0" applyFont="1" applyBorder="1" applyAlignment="1">
      <alignment vertical="center"/>
    </xf>
    <xf numFmtId="164" fontId="7" fillId="0" borderId="1" xfId="0" applyFont="1" applyBorder="1"/>
    <xf numFmtId="164" fontId="7" fillId="0" borderId="0" xfId="0" applyFont="1"/>
    <xf numFmtId="164" fontId="4" fillId="0" borderId="0" xfId="0" applyFont="1" applyBorder="1"/>
    <xf numFmtId="164" fontId="7" fillId="0" borderId="0" xfId="0" applyFont="1" applyBorder="1"/>
    <xf numFmtId="164" fontId="9" fillId="0" borderId="0" xfId="0" applyFont="1" applyAlignment="1" applyProtection="1">
      <alignment horizontal="left"/>
    </xf>
    <xf numFmtId="164" fontId="10" fillId="0" borderId="0" xfId="0" applyFont="1"/>
    <xf numFmtId="165" fontId="10" fillId="0" borderId="0" xfId="0" applyNumberFormat="1" applyFont="1" applyProtection="1"/>
    <xf numFmtId="37" fontId="10" fillId="0" borderId="0" xfId="0" applyNumberFormat="1" applyFont="1" applyProtection="1"/>
    <xf numFmtId="164" fontId="10" fillId="0" borderId="0" xfId="0" applyFont="1" applyAlignment="1" applyProtection="1">
      <alignment horizontal="left"/>
    </xf>
    <xf numFmtId="166" fontId="10" fillId="0" borderId="0" xfId="0" applyNumberFormat="1" applyFont="1" applyProtection="1"/>
    <xf numFmtId="5" fontId="10" fillId="0" borderId="0" xfId="0" applyNumberFormat="1" applyFont="1" applyProtection="1"/>
    <xf numFmtId="166" fontId="7" fillId="0" borderId="0" xfId="0" applyNumberFormat="1" applyFont="1" applyProtection="1"/>
    <xf numFmtId="164" fontId="11" fillId="0" borderId="0" xfId="0" applyFont="1" applyAlignment="1">
      <alignment horizontal="centerContinuous" vertical="top"/>
    </xf>
    <xf numFmtId="164" fontId="11" fillId="0" borderId="0" xfId="0" applyFont="1" applyAlignment="1">
      <alignment vertical="top"/>
    </xf>
    <xf numFmtId="166" fontId="7" fillId="0" borderId="1" xfId="0" applyNumberFormat="1" applyFont="1" applyBorder="1" applyProtection="1"/>
    <xf numFmtId="37" fontId="7" fillId="0" borderId="1" xfId="0" applyNumberFormat="1" applyFont="1" applyBorder="1" applyProtection="1"/>
    <xf numFmtId="165" fontId="7" fillId="0" borderId="1" xfId="0" applyNumberFormat="1" applyFont="1" applyBorder="1" applyProtection="1"/>
    <xf numFmtId="164" fontId="10" fillId="0" borderId="0" xfId="0" applyFont="1" applyBorder="1"/>
    <xf numFmtId="5" fontId="10" fillId="0" borderId="0" xfId="0" applyNumberFormat="1" applyFont="1" applyBorder="1" applyProtection="1"/>
    <xf numFmtId="164" fontId="3" fillId="0" borderId="0" xfId="0" applyFont="1" applyAlignment="1">
      <alignment vertical="top"/>
    </xf>
    <xf numFmtId="164" fontId="6" fillId="0" borderId="0" xfId="0" applyFont="1" applyBorder="1" applyAlignment="1">
      <alignment vertical="top"/>
    </xf>
    <xf numFmtId="164" fontId="3" fillId="0" borderId="0" xfId="0" applyFont="1" applyAlignment="1"/>
    <xf numFmtId="164" fontId="6" fillId="0" borderId="0" xfId="0" applyFont="1" applyAlignment="1">
      <alignment horizontal="centerContinuous"/>
    </xf>
    <xf numFmtId="164" fontId="6" fillId="0" borderId="0" xfId="0" applyFont="1" applyBorder="1" applyAlignment="1"/>
    <xf numFmtId="164" fontId="3" fillId="0" borderId="0" xfId="0" applyFont="1" applyAlignment="1">
      <alignment vertical="center"/>
    </xf>
    <xf numFmtId="164" fontId="6" fillId="0" borderId="0" xfId="0" applyFont="1" applyBorder="1" applyAlignment="1">
      <alignment vertical="center"/>
    </xf>
    <xf numFmtId="37" fontId="10" fillId="0" borderId="0" xfId="0" applyNumberFormat="1" applyFont="1" applyBorder="1" applyProtection="1"/>
    <xf numFmtId="165" fontId="10" fillId="0" borderId="0" xfId="0" applyNumberFormat="1" applyFont="1" applyBorder="1" applyProtection="1"/>
    <xf numFmtId="164" fontId="10" fillId="0" borderId="2" xfId="0" applyFont="1" applyBorder="1" applyAlignment="1" applyProtection="1">
      <alignment horizontal="left"/>
    </xf>
    <xf numFmtId="164" fontId="13" fillId="0" borderId="0" xfId="0" applyFont="1" applyBorder="1" applyAlignment="1" applyProtection="1">
      <alignment horizontal="left"/>
    </xf>
    <xf numFmtId="164" fontId="4" fillId="0" borderId="1" xfId="0" applyFont="1" applyBorder="1"/>
    <xf numFmtId="164" fontId="4" fillId="0" borderId="0" xfId="0" applyFont="1"/>
    <xf numFmtId="164" fontId="14" fillId="0" borderId="0" xfId="0" applyFont="1" applyBorder="1" applyAlignment="1" applyProtection="1">
      <alignment horizontal="left"/>
    </xf>
    <xf numFmtId="164" fontId="13" fillId="0" borderId="0" xfId="0" applyFont="1" applyAlignment="1" applyProtection="1">
      <alignment horizontal="left"/>
    </xf>
    <xf numFmtId="37" fontId="4" fillId="0" borderId="0" xfId="0" applyNumberFormat="1" applyFont="1" applyProtection="1"/>
    <xf numFmtId="165" fontId="4" fillId="0" borderId="0" xfId="0" applyNumberFormat="1" applyFont="1" applyProtection="1"/>
    <xf numFmtId="164" fontId="14" fillId="0" borderId="0" xfId="0" applyFont="1" applyAlignment="1" applyProtection="1">
      <alignment horizontal="left"/>
    </xf>
    <xf numFmtId="164" fontId="14" fillId="0" borderId="0" xfId="0" applyFont="1"/>
    <xf numFmtId="164" fontId="10" fillId="0" borderId="1" xfId="0" applyFont="1" applyBorder="1"/>
    <xf numFmtId="164" fontId="10" fillId="0" borderId="1" xfId="0" applyFont="1" applyBorder="1" applyAlignment="1" applyProtection="1">
      <alignment horizontal="centerContinuous"/>
    </xf>
    <xf numFmtId="164" fontId="10" fillId="0" borderId="1" xfId="0" applyFont="1" applyBorder="1" applyAlignment="1">
      <alignment horizontal="centerContinuous"/>
    </xf>
    <xf numFmtId="164" fontId="10" fillId="0" borderId="1" xfId="0" applyFont="1" applyBorder="1" applyAlignment="1" applyProtection="1">
      <alignment horizontal="left"/>
    </xf>
    <xf numFmtId="164" fontId="10" fillId="0" borderId="1" xfId="0" applyFont="1" applyBorder="1" applyAlignment="1" applyProtection="1">
      <alignment horizontal="center"/>
    </xf>
    <xf numFmtId="164" fontId="10" fillId="0" borderId="0" xfId="0" applyFont="1" applyAlignment="1" applyProtection="1">
      <alignment horizontal="center"/>
    </xf>
    <xf numFmtId="164" fontId="10" fillId="0" borderId="2" xfId="0" applyFont="1" applyBorder="1" applyAlignment="1" applyProtection="1">
      <alignment horizontal="center"/>
    </xf>
    <xf numFmtId="164" fontId="10" fillId="0" borderId="2" xfId="0" applyFont="1" applyBorder="1"/>
    <xf numFmtId="164" fontId="10" fillId="0" borderId="2" xfId="0" applyFont="1" applyBorder="1" applyAlignment="1" applyProtection="1">
      <alignment horizontal="left" vertical="center"/>
    </xf>
    <xf numFmtId="164" fontId="11" fillId="0" borderId="0" xfId="0" applyFont="1"/>
    <xf numFmtId="164" fontId="11" fillId="0" borderId="0" xfId="0" applyFont="1" applyBorder="1"/>
    <xf numFmtId="164" fontId="15" fillId="0" borderId="0" xfId="0" applyFont="1" applyBorder="1"/>
    <xf numFmtId="164" fontId="11" fillId="0" borderId="3" xfId="0" applyFont="1" applyBorder="1"/>
    <xf numFmtId="164" fontId="11" fillId="0" borderId="4" xfId="0" applyFont="1" applyBorder="1"/>
    <xf numFmtId="164" fontId="11" fillId="0" borderId="5" xfId="0" applyFont="1" applyBorder="1"/>
    <xf numFmtId="164" fontId="14" fillId="0" borderId="0" xfId="0" applyFont="1" applyBorder="1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syncVertical="1" syncRef="A1" transitionEvaluation="1"/>
  <dimension ref="A1:AE193"/>
  <sheetViews>
    <sheetView showGridLines="0" tabSelected="1" zoomScale="130" zoomScaleNormal="130" zoomScaleSheetLayoutView="100" workbookViewId="0">
      <selection activeCell="J196" sqref="J196"/>
    </sheetView>
  </sheetViews>
  <sheetFormatPr defaultColWidth="9.796875" defaultRowHeight="8.25"/>
  <cols>
    <col min="1" max="1" width="13" style="58" customWidth="1"/>
    <col min="2" max="2" width="16" style="58" customWidth="1"/>
    <col min="3" max="3" width="15.59765625" style="58" customWidth="1"/>
    <col min="4" max="4" width="11" style="58" customWidth="1"/>
    <col min="5" max="5" width="10.796875" style="58" customWidth="1"/>
    <col min="6" max="6" width="4" style="58" customWidth="1"/>
    <col min="7" max="7" width="14" style="58" customWidth="1"/>
    <col min="8" max="8" width="12.59765625" style="58" customWidth="1"/>
    <col min="9" max="9" width="11" style="58" customWidth="1"/>
    <col min="10" max="10" width="11.796875" style="58" customWidth="1"/>
    <col min="11" max="11" width="11" style="58" customWidth="1"/>
    <col min="12" max="12" width="9.3984375" style="58" customWidth="1"/>
    <col min="13" max="13" width="4.796875" style="58" customWidth="1"/>
    <col min="14" max="14" width="3" style="58" customWidth="1"/>
    <col min="15" max="15" width="13" style="58" customWidth="1"/>
    <col min="16" max="16" width="7" style="58" customWidth="1"/>
    <col min="17" max="17" width="13" style="58" customWidth="1"/>
    <col min="18" max="18" width="6" style="58" customWidth="1"/>
    <col min="19" max="19" width="11.796875" style="58" customWidth="1"/>
    <col min="20" max="20" width="6" style="58" customWidth="1"/>
    <col min="21" max="21" width="10.796875" style="58" customWidth="1"/>
    <col min="22" max="22" width="7" style="58" customWidth="1"/>
    <col min="23" max="23" width="9.3984375" style="58" customWidth="1"/>
    <col min="24" max="24" width="6" style="58" customWidth="1"/>
    <col min="25" max="25" width="10" style="58" customWidth="1"/>
    <col min="26" max="26" width="6" style="58" customWidth="1"/>
    <col min="27" max="27" width="10" style="58" customWidth="1"/>
    <col min="28" max="28" width="7" style="58" customWidth="1"/>
    <col min="29" max="29" width="11" style="58" customWidth="1"/>
    <col min="30" max="30" width="5.796875" style="58" customWidth="1"/>
    <col min="31" max="31" width="9.796875" style="29"/>
    <col min="32" max="16384" width="9.796875" style="4"/>
  </cols>
  <sheetData>
    <row r="1" spans="1:31" s="1" customFormat="1" ht="15" customHeight="1">
      <c r="A1" s="9" t="s">
        <v>51</v>
      </c>
      <c r="B1" s="10"/>
      <c r="C1" s="10"/>
      <c r="D1" s="10"/>
      <c r="E1" s="10"/>
      <c r="F1" s="10"/>
      <c r="G1" s="11"/>
      <c r="H1" s="10"/>
      <c r="I1" s="12"/>
      <c r="J1" s="12"/>
      <c r="K1" s="12"/>
      <c r="L1" s="12"/>
      <c r="M1" s="12"/>
      <c r="N1" s="13"/>
      <c r="O1" s="9" t="s">
        <v>52</v>
      </c>
      <c r="P1" s="10"/>
      <c r="Q1" s="10"/>
      <c r="R1" s="10"/>
      <c r="S1" s="14"/>
      <c r="T1" s="10"/>
      <c r="U1" s="10"/>
      <c r="V1" s="10"/>
      <c r="W1" s="12"/>
      <c r="X1" s="12"/>
      <c r="Y1" s="12"/>
      <c r="Z1" s="12"/>
      <c r="AA1" s="12"/>
      <c r="AB1" s="12"/>
      <c r="AC1" s="12"/>
      <c r="AD1" s="12"/>
      <c r="AE1" s="15"/>
    </row>
    <row r="2" spans="1:31" s="2" customFormat="1" ht="15" customHeight="1">
      <c r="A2" s="16" t="s">
        <v>0</v>
      </c>
      <c r="B2" s="17"/>
      <c r="C2" s="17"/>
      <c r="D2" s="17"/>
      <c r="E2" s="17"/>
      <c r="F2" s="17"/>
      <c r="G2" s="17"/>
      <c r="H2" s="17"/>
      <c r="I2" s="18"/>
      <c r="J2" s="18"/>
      <c r="K2" s="18"/>
      <c r="L2" s="18"/>
      <c r="M2" s="18"/>
      <c r="N2" s="19"/>
      <c r="O2" s="16" t="s">
        <v>0</v>
      </c>
      <c r="P2" s="17"/>
      <c r="Q2" s="17"/>
      <c r="R2" s="17"/>
      <c r="S2" s="17"/>
      <c r="T2" s="17"/>
      <c r="U2" s="17"/>
      <c r="V2" s="17"/>
      <c r="W2" s="18"/>
      <c r="X2" s="18"/>
      <c r="Y2" s="18"/>
      <c r="Z2" s="18"/>
      <c r="AA2" s="18"/>
      <c r="AB2" s="18"/>
      <c r="AC2" s="18"/>
      <c r="AD2" s="18"/>
      <c r="AE2" s="20"/>
    </row>
    <row r="3" spans="1:31" s="3" customFormat="1" ht="12" customHeight="1">
      <c r="A3" s="21" t="s">
        <v>1</v>
      </c>
      <c r="B3" s="22"/>
      <c r="C3" s="23"/>
      <c r="D3" s="23"/>
      <c r="E3" s="23"/>
      <c r="F3" s="23"/>
      <c r="G3" s="23"/>
      <c r="H3" s="23"/>
      <c r="I3" s="24"/>
      <c r="J3" s="24"/>
      <c r="K3" s="24"/>
      <c r="L3" s="24"/>
      <c r="M3" s="24"/>
      <c r="N3" s="25"/>
      <c r="O3" s="21" t="s">
        <v>1</v>
      </c>
      <c r="P3" s="23"/>
      <c r="Q3" s="23"/>
      <c r="R3" s="23"/>
      <c r="S3" s="23"/>
      <c r="T3" s="23"/>
      <c r="U3" s="23"/>
      <c r="V3" s="23"/>
      <c r="W3" s="24"/>
      <c r="X3" s="24"/>
      <c r="Y3" s="24"/>
      <c r="Z3" s="24"/>
      <c r="AA3" s="24"/>
      <c r="AB3" s="24"/>
      <c r="AC3" s="24"/>
      <c r="AD3" s="24"/>
      <c r="AE3" s="26"/>
    </row>
    <row r="4" spans="1:31" s="1" customFormat="1" ht="15" customHeight="1">
      <c r="A4" s="9" t="s">
        <v>81</v>
      </c>
      <c r="B4" s="10"/>
      <c r="C4" s="10"/>
      <c r="D4" s="10"/>
      <c r="E4" s="10"/>
      <c r="F4" s="10"/>
      <c r="G4" s="10"/>
      <c r="H4" s="10"/>
      <c r="I4" s="12"/>
      <c r="J4" s="12"/>
      <c r="K4" s="12"/>
      <c r="L4" s="12"/>
      <c r="M4" s="12"/>
      <c r="N4" s="13"/>
      <c r="O4" s="9" t="s">
        <v>81</v>
      </c>
      <c r="P4" s="10"/>
      <c r="Q4" s="10"/>
      <c r="R4" s="10"/>
      <c r="S4" s="10"/>
      <c r="T4" s="10"/>
      <c r="U4" s="10"/>
      <c r="V4" s="10"/>
      <c r="W4" s="12"/>
      <c r="X4" s="12"/>
      <c r="Y4" s="12"/>
      <c r="Z4" s="12"/>
      <c r="AA4" s="12"/>
      <c r="AB4" s="12"/>
      <c r="AC4" s="12"/>
      <c r="AD4" s="12"/>
      <c r="AE4" s="15"/>
    </row>
    <row r="5" spans="1:31" s="8" customFormat="1" ht="11.1" customHeight="1">
      <c r="A5" s="65"/>
      <c r="B5" s="65"/>
      <c r="C5" s="66" t="s">
        <v>2</v>
      </c>
      <c r="D5" s="67"/>
      <c r="E5" s="67"/>
      <c r="F5" s="67"/>
      <c r="G5" s="65"/>
      <c r="H5" s="68" t="s">
        <v>3</v>
      </c>
      <c r="I5" s="65"/>
      <c r="J5" s="65"/>
      <c r="K5" s="65"/>
      <c r="L5" s="65"/>
      <c r="M5" s="65"/>
      <c r="N5" s="32"/>
      <c r="O5" s="68" t="s">
        <v>4</v>
      </c>
      <c r="P5" s="65"/>
      <c r="Q5" s="65"/>
      <c r="R5" s="65"/>
      <c r="S5" s="65"/>
      <c r="T5" s="65"/>
      <c r="U5" s="68" t="s">
        <v>5</v>
      </c>
      <c r="V5" s="65"/>
      <c r="W5" s="65"/>
      <c r="X5" s="65"/>
      <c r="Y5" s="65"/>
      <c r="Z5" s="65"/>
      <c r="AA5" s="65"/>
      <c r="AB5" s="65"/>
      <c r="AC5" s="65"/>
      <c r="AD5" s="65"/>
      <c r="AE5" s="44"/>
    </row>
    <row r="6" spans="1:31" s="8" customFormat="1" ht="11.25">
      <c r="A6" s="35" t="s">
        <v>6</v>
      </c>
      <c r="B6" s="32"/>
      <c r="C6" s="69" t="s">
        <v>7</v>
      </c>
      <c r="D6" s="65"/>
      <c r="E6" s="69" t="s">
        <v>8</v>
      </c>
      <c r="F6" s="65"/>
      <c r="G6" s="32"/>
      <c r="H6" s="69" t="s">
        <v>7</v>
      </c>
      <c r="I6" s="65"/>
      <c r="J6" s="69" t="s">
        <v>8</v>
      </c>
      <c r="K6" s="65"/>
      <c r="L6" s="65"/>
      <c r="M6" s="65"/>
      <c r="N6" s="32"/>
      <c r="O6" s="69" t="s">
        <v>9</v>
      </c>
      <c r="P6" s="65"/>
      <c r="Q6" s="65"/>
      <c r="R6" s="32"/>
      <c r="S6" s="69" t="s">
        <v>9</v>
      </c>
      <c r="T6" s="65"/>
      <c r="U6" s="65"/>
      <c r="V6" s="65"/>
      <c r="W6" s="65"/>
      <c r="X6" s="65"/>
      <c r="Y6" s="65"/>
      <c r="Z6" s="65"/>
      <c r="AA6" s="69" t="s">
        <v>10</v>
      </c>
      <c r="AB6" s="65"/>
      <c r="AC6" s="69" t="s">
        <v>11</v>
      </c>
      <c r="AD6" s="65"/>
      <c r="AE6" s="44"/>
    </row>
    <row r="7" spans="1:31" s="8" customFormat="1" ht="10.15" customHeight="1">
      <c r="A7" s="35" t="s">
        <v>12</v>
      </c>
      <c r="B7" s="32"/>
      <c r="C7" s="70" t="s">
        <v>13</v>
      </c>
      <c r="D7" s="32"/>
      <c r="E7" s="70" t="s">
        <v>14</v>
      </c>
      <c r="F7" s="32"/>
      <c r="G7" s="32"/>
      <c r="H7" s="70" t="s">
        <v>13</v>
      </c>
      <c r="I7" s="32"/>
      <c r="J7" s="70" t="s">
        <v>14</v>
      </c>
      <c r="K7" s="32"/>
      <c r="L7" s="70" t="s">
        <v>15</v>
      </c>
      <c r="M7" s="32"/>
      <c r="N7" s="32"/>
      <c r="O7" s="70" t="s">
        <v>13</v>
      </c>
      <c r="P7" s="32"/>
      <c r="Q7" s="70" t="s">
        <v>15</v>
      </c>
      <c r="R7" s="32"/>
      <c r="S7" s="70" t="s">
        <v>13</v>
      </c>
      <c r="T7" s="32"/>
      <c r="U7" s="70" t="s">
        <v>15</v>
      </c>
      <c r="V7" s="32"/>
      <c r="W7" s="70" t="s">
        <v>16</v>
      </c>
      <c r="X7" s="32"/>
      <c r="Y7" s="70" t="s">
        <v>15</v>
      </c>
      <c r="Z7" s="32"/>
      <c r="AA7" s="70" t="s">
        <v>17</v>
      </c>
      <c r="AB7" s="32"/>
      <c r="AC7" s="70" t="s">
        <v>18</v>
      </c>
      <c r="AD7" s="32"/>
      <c r="AE7" s="44"/>
    </row>
    <row r="8" spans="1:31" s="8" customFormat="1" ht="11.45" customHeight="1">
      <c r="A8" s="55" t="s">
        <v>19</v>
      </c>
      <c r="B8" s="72"/>
      <c r="C8" s="71" t="s">
        <v>20</v>
      </c>
      <c r="D8" s="72"/>
      <c r="E8" s="71" t="s">
        <v>21</v>
      </c>
      <c r="F8" s="72"/>
      <c r="G8" s="72"/>
      <c r="H8" s="71" t="s">
        <v>20</v>
      </c>
      <c r="I8" s="72"/>
      <c r="J8" s="71" t="s">
        <v>21</v>
      </c>
      <c r="K8" s="72"/>
      <c r="L8" s="71" t="s">
        <v>22</v>
      </c>
      <c r="M8" s="72"/>
      <c r="N8" s="44"/>
      <c r="O8" s="71" t="s">
        <v>23</v>
      </c>
      <c r="P8" s="72"/>
      <c r="Q8" s="71" t="s">
        <v>22</v>
      </c>
      <c r="R8" s="72"/>
      <c r="S8" s="71" t="s">
        <v>23</v>
      </c>
      <c r="T8" s="72"/>
      <c r="U8" s="71" t="s">
        <v>77</v>
      </c>
      <c r="V8" s="72"/>
      <c r="W8" s="71" t="s">
        <v>24</v>
      </c>
      <c r="X8" s="72"/>
      <c r="Y8" s="71" t="s">
        <v>25</v>
      </c>
      <c r="Z8" s="72"/>
      <c r="AA8" s="71" t="s">
        <v>26</v>
      </c>
      <c r="AB8" s="72"/>
      <c r="AC8" s="73" t="s">
        <v>78</v>
      </c>
      <c r="AD8" s="72"/>
      <c r="AE8" s="44"/>
    </row>
    <row r="9" spans="1:31" ht="11.25">
      <c r="A9" s="31" t="s">
        <v>27</v>
      </c>
      <c r="B9" s="32"/>
      <c r="C9" s="32"/>
      <c r="D9" s="32"/>
      <c r="E9" s="32"/>
      <c r="F9" s="32"/>
      <c r="G9" s="32"/>
      <c r="H9" s="32"/>
      <c r="I9" s="32"/>
      <c r="J9" s="32"/>
      <c r="K9" s="32"/>
      <c r="L9" s="33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4"/>
      <c r="Z9" s="32"/>
      <c r="AA9" s="32"/>
      <c r="AB9" s="32"/>
      <c r="AC9" s="32"/>
      <c r="AD9" s="32"/>
    </row>
    <row r="10" spans="1:31" ht="11.25">
      <c r="A10" s="35" t="s">
        <v>28</v>
      </c>
      <c r="B10" s="32"/>
      <c r="C10" s="34">
        <v>6380</v>
      </c>
      <c r="D10" s="36">
        <f t="shared" ref="D10:D29" si="0">C10/G10*1000</f>
        <v>302.15486620885628</v>
      </c>
      <c r="E10" s="34">
        <v>302</v>
      </c>
      <c r="F10" s="32"/>
      <c r="G10" s="36">
        <v>21115</v>
      </c>
      <c r="H10" s="34">
        <v>77198</v>
      </c>
      <c r="I10" s="34"/>
      <c r="J10" s="34">
        <v>3656</v>
      </c>
      <c r="K10" s="34"/>
      <c r="L10" s="33">
        <f t="shared" ref="L10:L15" si="1">H10/C10</f>
        <v>12.1</v>
      </c>
      <c r="M10" s="32"/>
      <c r="N10" s="34"/>
      <c r="O10" s="37">
        <v>7401</v>
      </c>
      <c r="P10" s="37"/>
      <c r="Q10" s="37">
        <v>1160</v>
      </c>
      <c r="R10" s="37"/>
      <c r="S10" s="37">
        <v>5576</v>
      </c>
      <c r="T10" s="37"/>
      <c r="U10" s="37">
        <v>874</v>
      </c>
      <c r="V10" s="32"/>
      <c r="W10" s="37">
        <f t="shared" ref="W10:W33" si="2">(S10/G10)*1000</f>
        <v>264.07766990291265</v>
      </c>
      <c r="X10" s="37"/>
      <c r="Y10" s="37">
        <f t="shared" ref="Y10:Y33" si="3">S10/H10*1000</f>
        <v>72.22985051426204</v>
      </c>
      <c r="Z10" s="32"/>
      <c r="AA10" s="33">
        <v>75.3</v>
      </c>
      <c r="AB10" s="32"/>
      <c r="AC10" s="33">
        <f>S10/8019*100</f>
        <v>69.534854720039903</v>
      </c>
      <c r="AD10" s="32"/>
    </row>
    <row r="11" spans="1:31" ht="11.25">
      <c r="A11" s="35" t="s">
        <v>29</v>
      </c>
      <c r="B11" s="32"/>
      <c r="C11" s="34">
        <v>6984</v>
      </c>
      <c r="D11" s="36">
        <f t="shared" si="0"/>
        <v>299.72962533796834</v>
      </c>
      <c r="E11" s="34">
        <v>300</v>
      </c>
      <c r="F11" s="32"/>
      <c r="G11" s="36">
        <v>23301</v>
      </c>
      <c r="H11" s="34">
        <v>81529</v>
      </c>
      <c r="I11" s="34"/>
      <c r="J11" s="34">
        <v>3499</v>
      </c>
      <c r="K11" s="34"/>
      <c r="L11" s="33">
        <f t="shared" si="1"/>
        <v>11.673682703321878</v>
      </c>
      <c r="M11" s="32"/>
      <c r="N11" s="34"/>
      <c r="O11" s="34">
        <v>8494</v>
      </c>
      <c r="P11" s="34"/>
      <c r="Q11" s="34">
        <v>1216</v>
      </c>
      <c r="R11" s="34"/>
      <c r="S11" s="34">
        <v>6446</v>
      </c>
      <c r="T11" s="34"/>
      <c r="U11" s="34">
        <v>923</v>
      </c>
      <c r="V11" s="32"/>
      <c r="W11" s="34">
        <f t="shared" si="2"/>
        <v>276.64048753272391</v>
      </c>
      <c r="X11" s="34"/>
      <c r="Y11" s="34">
        <f t="shared" si="3"/>
        <v>79.063891376074764</v>
      </c>
      <c r="Z11" s="32"/>
      <c r="AA11" s="33">
        <v>75.900000000000006</v>
      </c>
      <c r="AB11" s="32"/>
      <c r="AC11" s="33">
        <f>S11/9251*100</f>
        <v>69.67895362663495</v>
      </c>
      <c r="AD11" s="32"/>
    </row>
    <row r="12" spans="1:31" ht="11.25">
      <c r="A12" s="35" t="s">
        <v>30</v>
      </c>
      <c r="B12" s="32"/>
      <c r="C12" s="34">
        <v>7629</v>
      </c>
      <c r="D12" s="36">
        <f t="shared" si="0"/>
        <v>318.88480187259654</v>
      </c>
      <c r="E12" s="34">
        <v>319</v>
      </c>
      <c r="F12" s="32"/>
      <c r="G12" s="36">
        <v>23924</v>
      </c>
      <c r="H12" s="34">
        <v>87523</v>
      </c>
      <c r="I12" s="34"/>
      <c r="J12" s="34">
        <v>3658</v>
      </c>
      <c r="K12" s="34"/>
      <c r="L12" s="33">
        <f t="shared" si="1"/>
        <v>11.472407917158213</v>
      </c>
      <c r="M12" s="32"/>
      <c r="N12" s="34"/>
      <c r="O12" s="34">
        <v>10471</v>
      </c>
      <c r="P12" s="34"/>
      <c r="Q12" s="34">
        <v>1373</v>
      </c>
      <c r="R12" s="34"/>
      <c r="S12" s="34">
        <v>7837</v>
      </c>
      <c r="T12" s="34"/>
      <c r="U12" s="34">
        <v>1027</v>
      </c>
      <c r="V12" s="32"/>
      <c r="W12" s="34">
        <f t="shared" si="2"/>
        <v>327.57900016719611</v>
      </c>
      <c r="X12" s="34"/>
      <c r="Y12" s="34">
        <f t="shared" si="3"/>
        <v>89.542177484775422</v>
      </c>
      <c r="Z12" s="32"/>
      <c r="AA12" s="33">
        <v>74.8</v>
      </c>
      <c r="AB12" s="32"/>
      <c r="AC12" s="33">
        <f>S12/11238*100</f>
        <v>69.736607937355402</v>
      </c>
      <c r="AD12" s="32"/>
    </row>
    <row r="13" spans="1:31" ht="11.25">
      <c r="A13" s="35" t="s">
        <v>31</v>
      </c>
      <c r="B13" s="32"/>
      <c r="C13" s="34">
        <v>8001</v>
      </c>
      <c r="D13" s="36">
        <f t="shared" si="0"/>
        <v>324.71590909090907</v>
      </c>
      <c r="E13" s="34">
        <v>325</v>
      </c>
      <c r="F13" s="32"/>
      <c r="G13" s="36">
        <v>24640</v>
      </c>
      <c r="H13" s="34">
        <v>89275</v>
      </c>
      <c r="I13" s="34"/>
      <c r="J13" s="34">
        <v>3623</v>
      </c>
      <c r="K13" s="34"/>
      <c r="L13" s="33">
        <f t="shared" si="1"/>
        <v>11.157980252468441</v>
      </c>
      <c r="M13" s="32"/>
      <c r="N13" s="34"/>
      <c r="O13" s="34">
        <v>13073</v>
      </c>
      <c r="P13" s="34"/>
      <c r="Q13" s="34">
        <v>1634</v>
      </c>
      <c r="R13" s="34"/>
      <c r="S13" s="34">
        <v>9748</v>
      </c>
      <c r="T13" s="34"/>
      <c r="U13" s="34">
        <v>1218</v>
      </c>
      <c r="V13" s="32"/>
      <c r="W13" s="34">
        <f t="shared" si="2"/>
        <v>395.61688311688317</v>
      </c>
      <c r="X13" s="34"/>
      <c r="Y13" s="34">
        <f t="shared" si="3"/>
        <v>109.19070288434612</v>
      </c>
      <c r="Z13" s="32"/>
      <c r="AA13" s="33">
        <v>74.599999999999994</v>
      </c>
      <c r="AB13" s="32"/>
      <c r="AC13" s="33">
        <f>S13/14549*100</f>
        <v>67.001168465186609</v>
      </c>
      <c r="AD13" s="32"/>
    </row>
    <row r="14" spans="1:31" ht="11.25">
      <c r="A14" s="35" t="s">
        <v>32</v>
      </c>
      <c r="B14" s="32"/>
      <c r="C14" s="34">
        <v>8465</v>
      </c>
      <c r="D14" s="36">
        <f t="shared" si="0"/>
        <v>334.41314739461939</v>
      </c>
      <c r="E14" s="34">
        <v>334</v>
      </c>
      <c r="F14" s="32"/>
      <c r="G14" s="36">
        <v>25313</v>
      </c>
      <c r="H14" s="34">
        <v>93480</v>
      </c>
      <c r="I14" s="34"/>
      <c r="J14" s="34">
        <v>3693</v>
      </c>
      <c r="K14" s="34"/>
      <c r="L14" s="33">
        <f t="shared" si="1"/>
        <v>11.043118724158299</v>
      </c>
      <c r="M14" s="32"/>
      <c r="N14" s="34"/>
      <c r="O14" s="34">
        <v>15951</v>
      </c>
      <c r="P14" s="34"/>
      <c r="Q14" s="34">
        <v>1882</v>
      </c>
      <c r="R14" s="34"/>
      <c r="S14" s="34">
        <v>11803</v>
      </c>
      <c r="T14" s="34"/>
      <c r="U14" s="34">
        <v>1394</v>
      </c>
      <c r="V14" s="32"/>
      <c r="W14" s="34">
        <f t="shared" si="2"/>
        <v>466.28214751313556</v>
      </c>
      <c r="X14" s="34"/>
      <c r="Y14" s="34">
        <f t="shared" si="3"/>
        <v>126.26230209670517</v>
      </c>
      <c r="Z14" s="32"/>
      <c r="AA14" s="33">
        <v>74.099999999999994</v>
      </c>
      <c r="AB14" s="32"/>
      <c r="AC14" s="33">
        <f>S14/17619*100</f>
        <v>66.990181054543385</v>
      </c>
      <c r="AD14" s="32"/>
    </row>
    <row r="15" spans="1:31" ht="11.25">
      <c r="A15" s="35" t="s">
        <v>33</v>
      </c>
      <c r="B15" s="32"/>
      <c r="C15" s="34">
        <v>8808</v>
      </c>
      <c r="D15" s="36">
        <f t="shared" si="0"/>
        <v>337.54886180731205</v>
      </c>
      <c r="E15" s="34">
        <v>338</v>
      </c>
      <c r="F15" s="32"/>
      <c r="G15" s="36">
        <v>26094</v>
      </c>
      <c r="H15" s="34">
        <v>96825</v>
      </c>
      <c r="I15" s="34"/>
      <c r="J15" s="34">
        <v>3711</v>
      </c>
      <c r="K15" s="34"/>
      <c r="L15" s="33">
        <f t="shared" si="1"/>
        <v>10.992847411444142</v>
      </c>
      <c r="M15" s="32"/>
      <c r="N15" s="34"/>
      <c r="O15" s="34">
        <v>19157</v>
      </c>
      <c r="P15" s="34"/>
      <c r="Q15" s="34">
        <v>2170</v>
      </c>
      <c r="R15" s="34"/>
      <c r="S15" s="34">
        <v>13944</v>
      </c>
      <c r="T15" s="34"/>
      <c r="U15" s="34">
        <v>1583</v>
      </c>
      <c r="V15" s="32"/>
      <c r="W15" s="34">
        <f t="shared" si="2"/>
        <v>534.37571855598992</v>
      </c>
      <c r="X15" s="34"/>
      <c r="Y15" s="34">
        <f t="shared" si="3"/>
        <v>144.01239349341597</v>
      </c>
      <c r="Z15" s="32"/>
      <c r="AA15" s="33">
        <v>73</v>
      </c>
      <c r="AB15" s="32"/>
      <c r="AC15" s="33">
        <f>S15/20477*100</f>
        <v>68.09591248718074</v>
      </c>
      <c r="AD15" s="32"/>
    </row>
    <row r="16" spans="1:31" ht="11.25">
      <c r="A16" s="35" t="s">
        <v>34</v>
      </c>
      <c r="B16" s="32"/>
      <c r="C16" s="34">
        <v>9216</v>
      </c>
      <c r="D16" s="36">
        <f t="shared" si="0"/>
        <v>344.17597191619677</v>
      </c>
      <c r="E16" s="34">
        <v>344</v>
      </c>
      <c r="F16" s="32"/>
      <c r="G16" s="36">
        <v>26777</v>
      </c>
      <c r="H16" s="34">
        <v>99372</v>
      </c>
      <c r="I16" s="34"/>
      <c r="J16" s="34">
        <v>3712</v>
      </c>
      <c r="K16" s="34"/>
      <c r="L16" s="33">
        <v>10.8</v>
      </c>
      <c r="M16" s="32"/>
      <c r="N16" s="34"/>
      <c r="O16" s="34">
        <v>22408</v>
      </c>
      <c r="P16" s="34"/>
      <c r="Q16" s="34">
        <v>2431</v>
      </c>
      <c r="R16" s="34"/>
      <c r="S16" s="34">
        <v>16008</v>
      </c>
      <c r="T16" s="34"/>
      <c r="U16" s="34">
        <v>1737</v>
      </c>
      <c r="V16" s="32"/>
      <c r="W16" s="34">
        <f t="shared" si="2"/>
        <v>597.82649288568541</v>
      </c>
      <c r="X16" s="34"/>
      <c r="Y16" s="34">
        <f t="shared" si="3"/>
        <v>161.09165559715009</v>
      </c>
      <c r="Z16" s="32"/>
      <c r="AA16" s="33">
        <v>71.400000000000006</v>
      </c>
      <c r="AB16" s="32"/>
      <c r="AC16" s="33">
        <f>S16/23543*100</f>
        <v>67.994733041668425</v>
      </c>
      <c r="AD16" s="32"/>
    </row>
    <row r="17" spans="1:30" ht="11.25">
      <c r="A17" s="35" t="s">
        <v>35</v>
      </c>
      <c r="B17" s="32"/>
      <c r="C17" s="34">
        <v>9642</v>
      </c>
      <c r="D17" s="36">
        <f t="shared" si="0"/>
        <v>351.14170217415051</v>
      </c>
      <c r="E17" s="34">
        <v>351</v>
      </c>
      <c r="F17" s="32"/>
      <c r="G17" s="36">
        <v>27459</v>
      </c>
      <c r="H17" s="34">
        <v>102469</v>
      </c>
      <c r="I17" s="34"/>
      <c r="J17" s="34">
        <v>3750</v>
      </c>
      <c r="K17" s="34"/>
      <c r="L17" s="33">
        <v>10.7</v>
      </c>
      <c r="M17" s="32"/>
      <c r="N17" s="34"/>
      <c r="O17" s="34">
        <v>26120</v>
      </c>
      <c r="P17" s="34"/>
      <c r="Q17" s="34">
        <v>2709</v>
      </c>
      <c r="R17" s="34"/>
      <c r="S17" s="34">
        <v>18463</v>
      </c>
      <c r="T17" s="34"/>
      <c r="U17" s="34">
        <v>1915</v>
      </c>
      <c r="V17" s="32"/>
      <c r="W17" s="34">
        <f t="shared" si="2"/>
        <v>672.3842820204668</v>
      </c>
      <c r="X17" s="34"/>
      <c r="Y17" s="34">
        <f t="shared" si="3"/>
        <v>180.18132313187405</v>
      </c>
      <c r="Z17" s="32"/>
      <c r="AA17" s="33">
        <v>70.7</v>
      </c>
      <c r="AB17" s="32"/>
      <c r="AC17" s="33">
        <f>S17/27699*100</f>
        <v>66.655835950756341</v>
      </c>
      <c r="AD17" s="32"/>
    </row>
    <row r="18" spans="1:30" ht="11.25">
      <c r="A18" s="35" t="s">
        <v>36</v>
      </c>
      <c r="B18" s="32"/>
      <c r="C18" s="34">
        <v>10279</v>
      </c>
      <c r="D18" s="36">
        <f t="shared" si="0"/>
        <v>366.23080485979978</v>
      </c>
      <c r="E18" s="34">
        <v>366</v>
      </c>
      <c r="F18" s="32"/>
      <c r="G18" s="36">
        <v>28067</v>
      </c>
      <c r="H18" s="34">
        <v>109175</v>
      </c>
      <c r="I18" s="34"/>
      <c r="J18" s="34">
        <v>3890</v>
      </c>
      <c r="K18" s="34"/>
      <c r="L18" s="33">
        <v>10.6</v>
      </c>
      <c r="M18" s="32"/>
      <c r="N18" s="34"/>
      <c r="O18" s="34">
        <v>31992</v>
      </c>
      <c r="P18" s="34"/>
      <c r="Q18" s="34">
        <v>3112</v>
      </c>
      <c r="R18" s="34"/>
      <c r="S18" s="34">
        <v>22099</v>
      </c>
      <c r="T18" s="34"/>
      <c r="U18" s="34">
        <v>2150</v>
      </c>
      <c r="V18" s="32"/>
      <c r="W18" s="34">
        <f t="shared" si="2"/>
        <v>787.36594577261553</v>
      </c>
      <c r="X18" s="34"/>
      <c r="Y18" s="34">
        <f t="shared" si="3"/>
        <v>202.41813602015114</v>
      </c>
      <c r="Z18" s="32"/>
      <c r="AA18" s="33">
        <v>69.099999999999994</v>
      </c>
      <c r="AB18" s="32"/>
      <c r="AC18" s="33">
        <f>S18/33275*100</f>
        <v>66.413223140495873</v>
      </c>
      <c r="AD18" s="32"/>
    </row>
    <row r="19" spans="1:30" ht="11.25">
      <c r="A19" s="35" t="s">
        <v>37</v>
      </c>
      <c r="B19" s="32"/>
      <c r="C19" s="34">
        <v>10660</v>
      </c>
      <c r="D19" s="36">
        <f t="shared" si="0"/>
        <v>372.85764253235396</v>
      </c>
      <c r="E19" s="34">
        <v>368</v>
      </c>
      <c r="F19" s="32"/>
      <c r="G19" s="36">
        <v>28590</v>
      </c>
      <c r="H19" s="34">
        <v>110806</v>
      </c>
      <c r="I19" s="34"/>
      <c r="J19" s="34">
        <v>3827</v>
      </c>
      <c r="K19" s="34"/>
      <c r="L19" s="33">
        <v>10.4</v>
      </c>
      <c r="M19" s="32"/>
      <c r="N19" s="34"/>
      <c r="O19" s="34">
        <v>38164</v>
      </c>
      <c r="P19" s="34"/>
      <c r="Q19" s="34">
        <v>3580</v>
      </c>
      <c r="R19" s="34"/>
      <c r="S19" s="34">
        <v>25936</v>
      </c>
      <c r="T19" s="34"/>
      <c r="U19" s="34">
        <v>2433</v>
      </c>
      <c r="V19" s="32"/>
      <c r="W19" s="34">
        <f t="shared" si="2"/>
        <v>907.17033927946829</v>
      </c>
      <c r="X19" s="34"/>
      <c r="Y19" s="34">
        <f t="shared" si="3"/>
        <v>234.06674728805299</v>
      </c>
      <c r="Z19" s="32"/>
      <c r="AA19" s="33">
        <v>68</v>
      </c>
      <c r="AB19" s="32"/>
      <c r="AC19" s="33">
        <f>S19/39918*100</f>
        <v>64.973195049852194</v>
      </c>
      <c r="AD19" s="32"/>
    </row>
    <row r="20" spans="1:30" ht="11.25">
      <c r="A20" s="35" t="s">
        <v>38</v>
      </c>
      <c r="B20" s="32"/>
      <c r="C20" s="34">
        <v>11109</v>
      </c>
      <c r="D20" s="36">
        <f t="shared" si="0"/>
        <v>382.15968901578998</v>
      </c>
      <c r="E20" s="34">
        <v>382</v>
      </c>
      <c r="F20" s="32"/>
      <c r="G20" s="36">
        <v>29069</v>
      </c>
      <c r="H20" s="34">
        <v>113047</v>
      </c>
      <c r="I20" s="34"/>
      <c r="J20" s="34">
        <v>3889</v>
      </c>
      <c r="K20" s="34"/>
      <c r="L20" s="33">
        <v>10.199999999999999</v>
      </c>
      <c r="M20" s="32"/>
      <c r="N20" s="34"/>
      <c r="O20" s="34">
        <v>46369</v>
      </c>
      <c r="P20" s="34"/>
      <c r="Q20" s="34">
        <v>4174</v>
      </c>
      <c r="R20" s="34"/>
      <c r="S20" s="34">
        <v>30601</v>
      </c>
      <c r="T20" s="34"/>
      <c r="U20" s="34">
        <v>2755</v>
      </c>
      <c r="V20" s="32"/>
      <c r="W20" s="34">
        <f t="shared" si="2"/>
        <v>1052.7021913378514</v>
      </c>
      <c r="X20" s="34"/>
      <c r="Y20" s="34">
        <f t="shared" si="3"/>
        <v>270.69272072677734</v>
      </c>
      <c r="Z20" s="32"/>
      <c r="AA20" s="33">
        <v>66</v>
      </c>
      <c r="AB20" s="32"/>
      <c r="AC20" s="33">
        <f>S20/48134*100</f>
        <v>63.574604229858309</v>
      </c>
      <c r="AD20" s="32"/>
    </row>
    <row r="21" spans="1:30" ht="11.25">
      <c r="A21" s="35" t="s">
        <v>39</v>
      </c>
      <c r="B21" s="32"/>
      <c r="C21" s="34">
        <v>11436</v>
      </c>
      <c r="D21" s="36">
        <f t="shared" si="0"/>
        <v>386.52110724304595</v>
      </c>
      <c r="E21" s="34">
        <v>387</v>
      </c>
      <c r="F21" s="32"/>
      <c r="G21" s="36">
        <v>29587</v>
      </c>
      <c r="H21" s="34">
        <v>112011</v>
      </c>
      <c r="I21" s="34"/>
      <c r="J21" s="34">
        <v>3786</v>
      </c>
      <c r="K21" s="34"/>
      <c r="L21" s="33">
        <v>9.8000000000000007</v>
      </c>
      <c r="M21" s="32"/>
      <c r="N21" s="34"/>
      <c r="O21" s="34">
        <v>54127</v>
      </c>
      <c r="P21" s="34"/>
      <c r="Q21" s="34">
        <v>4733</v>
      </c>
      <c r="R21" s="34"/>
      <c r="S21" s="34">
        <v>34338</v>
      </c>
      <c r="T21" s="34"/>
      <c r="U21" s="34">
        <v>3003</v>
      </c>
      <c r="V21" s="32"/>
      <c r="W21" s="34">
        <f t="shared" si="2"/>
        <v>1160.5772805624092</v>
      </c>
      <c r="X21" s="34"/>
      <c r="Y21" s="34">
        <f t="shared" si="3"/>
        <v>306.55917722366553</v>
      </c>
      <c r="Z21" s="32"/>
      <c r="AA21" s="33">
        <v>63.4</v>
      </c>
      <c r="AB21" s="32"/>
      <c r="AC21" s="33">
        <f>S21/53438*100</f>
        <v>64.257644372918151</v>
      </c>
      <c r="AD21" s="32"/>
    </row>
    <row r="22" spans="1:30" ht="11.25">
      <c r="A22" s="35" t="s">
        <v>40</v>
      </c>
      <c r="B22" s="32"/>
      <c r="C22" s="34">
        <v>10896</v>
      </c>
      <c r="D22" s="36">
        <f t="shared" si="0"/>
        <v>363.24843312441658</v>
      </c>
      <c r="E22" s="34">
        <v>363</v>
      </c>
      <c r="F22" s="32"/>
      <c r="G22" s="36">
        <v>29996</v>
      </c>
      <c r="H22" s="34">
        <v>96485</v>
      </c>
      <c r="I22" s="34"/>
      <c r="J22" s="34">
        <v>3217</v>
      </c>
      <c r="K22" s="34"/>
      <c r="L22" s="33">
        <v>8.9</v>
      </c>
      <c r="M22" s="32"/>
      <c r="N22" s="34"/>
      <c r="O22" s="34">
        <v>52901</v>
      </c>
      <c r="P22" s="34"/>
      <c r="Q22" s="34">
        <v>4855</v>
      </c>
      <c r="R22" s="34"/>
      <c r="S22" s="34">
        <v>38500</v>
      </c>
      <c r="T22" s="34"/>
      <c r="U22" s="34">
        <v>3533</v>
      </c>
      <c r="V22" s="32"/>
      <c r="W22" s="34">
        <f t="shared" si="2"/>
        <v>1283.5044672623017</v>
      </c>
      <c r="X22" s="34"/>
      <c r="Y22" s="34">
        <f t="shared" si="3"/>
        <v>399.02575529875111</v>
      </c>
      <c r="Z22" s="32"/>
      <c r="AA22" s="33">
        <v>72.8</v>
      </c>
      <c r="AB22" s="32"/>
      <c r="AC22" s="33">
        <f>S22/59132*100</f>
        <v>65.108570655482652</v>
      </c>
      <c r="AD22" s="32"/>
    </row>
    <row r="23" spans="1:30" ht="11.25">
      <c r="A23" s="35" t="s">
        <v>41</v>
      </c>
      <c r="B23" s="32"/>
      <c r="C23" s="34">
        <v>10027</v>
      </c>
      <c r="D23" s="36">
        <f t="shared" si="0"/>
        <v>327.79757429141193</v>
      </c>
      <c r="E23" s="34">
        <v>328</v>
      </c>
      <c r="F23" s="32"/>
      <c r="G23" s="36">
        <v>30589</v>
      </c>
      <c r="H23" s="34">
        <v>86339</v>
      </c>
      <c r="I23" s="36">
        <f>H23/G23*1000</f>
        <v>2822.5505900814014</v>
      </c>
      <c r="J23" s="34">
        <v>2822</v>
      </c>
      <c r="K23" s="34"/>
      <c r="L23" s="33">
        <v>8.6</v>
      </c>
      <c r="M23" s="32"/>
      <c r="N23" s="34"/>
      <c r="O23" s="34">
        <v>53397</v>
      </c>
      <c r="P23" s="34"/>
      <c r="Q23" s="34">
        <v>5332</v>
      </c>
      <c r="R23" s="34"/>
      <c r="S23" s="34">
        <v>40200</v>
      </c>
      <c r="T23" s="34"/>
      <c r="U23" s="34">
        <v>4009</v>
      </c>
      <c r="V23" s="32"/>
      <c r="W23" s="34">
        <f t="shared" si="2"/>
        <v>1314.1979142829121</v>
      </c>
      <c r="X23" s="34"/>
      <c r="Y23" s="34">
        <f t="shared" si="3"/>
        <v>465.60650459236268</v>
      </c>
      <c r="Z23" s="32"/>
      <c r="AA23" s="33">
        <v>75.2</v>
      </c>
      <c r="AB23" s="32"/>
      <c r="AC23" s="33">
        <f>S23/63877*100</f>
        <v>62.9334502246505</v>
      </c>
      <c r="AD23" s="32"/>
    </row>
    <row r="24" spans="1:30" ht="11.25">
      <c r="A24" s="35" t="s">
        <v>42</v>
      </c>
      <c r="B24" s="32"/>
      <c r="C24" s="34">
        <v>10044</v>
      </c>
      <c r="D24" s="36">
        <f t="shared" si="0"/>
        <v>321.75807278318814</v>
      </c>
      <c r="E24" s="34">
        <v>322</v>
      </c>
      <c r="F24" s="32"/>
      <c r="G24" s="36">
        <v>31216</v>
      </c>
      <c r="H24" s="34">
        <v>86910</v>
      </c>
      <c r="I24" s="36">
        <f>H24/G24*1000</f>
        <v>2784.1491542798567</v>
      </c>
      <c r="J24" s="34">
        <v>2784</v>
      </c>
      <c r="K24" s="34"/>
      <c r="L24" s="33">
        <v>8.6999999999999993</v>
      </c>
      <c r="M24" s="32"/>
      <c r="N24" s="34"/>
      <c r="O24" s="34">
        <v>59376</v>
      </c>
      <c r="P24" s="34"/>
      <c r="Q24" s="34">
        <v>5911</v>
      </c>
      <c r="R24" s="34"/>
      <c r="S24" s="34">
        <v>41781</v>
      </c>
      <c r="T24" s="34"/>
      <c r="U24" s="34">
        <v>4160</v>
      </c>
      <c r="V24" s="32"/>
      <c r="W24" s="34">
        <f t="shared" si="2"/>
        <v>1338.4482316760634</v>
      </c>
      <c r="X24" s="34"/>
      <c r="Y24" s="34">
        <f t="shared" si="3"/>
        <v>480.73869520193301</v>
      </c>
      <c r="Z24" s="32"/>
      <c r="AA24" s="33">
        <v>70.400000000000006</v>
      </c>
      <c r="AB24" s="32"/>
      <c r="AC24" s="33">
        <f>S24/68863*100</f>
        <v>60.672639879180402</v>
      </c>
      <c r="AD24" s="32"/>
    </row>
    <row r="25" spans="1:30" ht="11.25">
      <c r="A25" s="35" t="s">
        <v>43</v>
      </c>
      <c r="B25" s="32"/>
      <c r="C25" s="34">
        <v>10110</v>
      </c>
      <c r="D25" s="36">
        <f t="shared" si="0"/>
        <v>317.39553574231627</v>
      </c>
      <c r="E25" s="34">
        <v>317</v>
      </c>
      <c r="F25" s="32"/>
      <c r="G25" s="36">
        <v>31853</v>
      </c>
      <c r="H25" s="34">
        <v>89651</v>
      </c>
      <c r="I25" s="36">
        <f>H25/G25*1000</f>
        <v>2814.522964869871</v>
      </c>
      <c r="J25" s="34">
        <v>2815</v>
      </c>
      <c r="K25" s="34"/>
      <c r="L25" s="33">
        <v>8.9</v>
      </c>
      <c r="M25" s="32"/>
      <c r="N25" s="34"/>
      <c r="O25" s="34">
        <v>68490</v>
      </c>
      <c r="P25" s="34"/>
      <c r="Q25" s="34">
        <v>6775</v>
      </c>
      <c r="R25" s="34"/>
      <c r="S25" s="34">
        <v>44068</v>
      </c>
      <c r="T25" s="34"/>
      <c r="U25" s="34">
        <v>4359</v>
      </c>
      <c r="V25" s="32"/>
      <c r="W25" s="34">
        <f t="shared" si="2"/>
        <v>1383.4803629171506</v>
      </c>
      <c r="X25" s="34"/>
      <c r="Y25" s="34">
        <f t="shared" si="3"/>
        <v>491.55056831491004</v>
      </c>
      <c r="Z25" s="32"/>
      <c r="AA25" s="33">
        <v>64.3</v>
      </c>
      <c r="AB25" s="32"/>
      <c r="AC25" s="33">
        <f>S25/75817*100</f>
        <v>58.124167403089025</v>
      </c>
      <c r="AD25" s="32"/>
    </row>
    <row r="26" spans="1:30" ht="10.5" customHeight="1">
      <c r="A26" s="35" t="s">
        <v>44</v>
      </c>
      <c r="B26" s="32"/>
      <c r="C26" s="34">
        <v>10256</v>
      </c>
      <c r="D26" s="36">
        <f t="shared" si="0"/>
        <v>316.41625273809893</v>
      </c>
      <c r="E26" s="34">
        <v>316</v>
      </c>
      <c r="F26" s="32"/>
      <c r="G26" s="36">
        <v>32413</v>
      </c>
      <c r="H26" s="34">
        <v>90873</v>
      </c>
      <c r="I26" s="34"/>
      <c r="J26" s="34">
        <v>2804</v>
      </c>
      <c r="K26" s="34"/>
      <c r="L26" s="33">
        <v>8.9</v>
      </c>
      <c r="M26" s="32"/>
      <c r="N26" s="34"/>
      <c r="O26" s="34">
        <v>78536</v>
      </c>
      <c r="P26" s="34"/>
      <c r="Q26" s="34">
        <v>7657</v>
      </c>
      <c r="R26" s="34"/>
      <c r="S26" s="34">
        <v>46879</v>
      </c>
      <c r="T26" s="34"/>
      <c r="U26" s="34">
        <v>4571</v>
      </c>
      <c r="V26" s="32"/>
      <c r="W26" s="34">
        <f t="shared" si="2"/>
        <v>1446.3024095270416</v>
      </c>
      <c r="X26" s="34"/>
      <c r="Y26" s="34">
        <f t="shared" si="3"/>
        <v>515.87380189935402</v>
      </c>
      <c r="Z26" s="32"/>
      <c r="AA26" s="33">
        <v>59.7</v>
      </c>
      <c r="AB26" s="32"/>
      <c r="AC26" s="33">
        <f>S26/81403*100</f>
        <v>57.588786654054516</v>
      </c>
      <c r="AD26" s="32"/>
    </row>
    <row r="27" spans="1:30" ht="10.5" customHeight="1">
      <c r="A27" s="35" t="s">
        <v>53</v>
      </c>
      <c r="B27" s="32"/>
      <c r="C27" s="34">
        <v>10148</v>
      </c>
      <c r="D27" s="36">
        <f t="shared" si="0"/>
        <v>307.14285714285717</v>
      </c>
      <c r="E27" s="34">
        <v>307</v>
      </c>
      <c r="F27" s="32"/>
      <c r="G27" s="36">
        <v>33040</v>
      </c>
      <c r="H27" s="34">
        <v>89902</v>
      </c>
      <c r="I27" s="34"/>
      <c r="J27" s="34">
        <v>2721</v>
      </c>
      <c r="K27" s="34"/>
      <c r="L27" s="33">
        <v>8.9</v>
      </c>
      <c r="M27" s="32"/>
      <c r="N27" s="34"/>
      <c r="O27" s="34">
        <v>88038</v>
      </c>
      <c r="P27" s="34"/>
      <c r="Q27" s="34">
        <v>8676</v>
      </c>
      <c r="R27" s="34"/>
      <c r="S27" s="34">
        <v>49091</v>
      </c>
      <c r="T27" s="34"/>
      <c r="U27" s="34">
        <v>4838</v>
      </c>
      <c r="V27" s="32"/>
      <c r="W27" s="34">
        <f t="shared" si="2"/>
        <v>1485.8050847457628</v>
      </c>
      <c r="X27" s="34"/>
      <c r="Y27" s="34">
        <f t="shared" si="3"/>
        <v>546.05014348957764</v>
      </c>
      <c r="Z27" s="32"/>
      <c r="AA27" s="33">
        <v>55.8</v>
      </c>
      <c r="AB27" s="32"/>
      <c r="AC27" s="33">
        <f>S27/93844*100</f>
        <v>52.31128255402583</v>
      </c>
      <c r="AD27" s="32"/>
    </row>
    <row r="28" spans="1:30" ht="10.9" customHeight="1">
      <c r="A28" s="35">
        <v>1990</v>
      </c>
      <c r="B28" s="32"/>
      <c r="C28" s="34">
        <v>10522</v>
      </c>
      <c r="D28" s="36">
        <f t="shared" si="0"/>
        <v>312.03107855638916</v>
      </c>
      <c r="E28" s="34">
        <v>312</v>
      </c>
      <c r="F28" s="32"/>
      <c r="G28" s="36">
        <v>33721</v>
      </c>
      <c r="H28" s="34">
        <v>92735</v>
      </c>
      <c r="I28" s="34"/>
      <c r="J28" s="34">
        <v>2749</v>
      </c>
      <c r="K28" s="34"/>
      <c r="L28" s="33">
        <v>8.8000000000000007</v>
      </c>
      <c r="M28" s="32"/>
      <c r="N28" s="34"/>
      <c r="O28" s="34">
        <v>102544</v>
      </c>
      <c r="P28" s="34"/>
      <c r="Q28" s="34">
        <v>9746</v>
      </c>
      <c r="R28" s="34"/>
      <c r="S28" s="34">
        <v>53708</v>
      </c>
      <c r="T28" s="34"/>
      <c r="U28" s="34">
        <v>5281</v>
      </c>
      <c r="V28" s="32"/>
      <c r="W28" s="34">
        <f t="shared" si="2"/>
        <v>1592.7167047240591</v>
      </c>
      <c r="X28" s="34"/>
      <c r="Y28" s="34">
        <f t="shared" si="3"/>
        <v>579.15565859707772</v>
      </c>
      <c r="Z28" s="32"/>
      <c r="AA28" s="33">
        <f t="shared" ref="AA28:AA38" si="4">S28/O28*100</f>
        <v>52.375565610859731</v>
      </c>
      <c r="AB28" s="32"/>
      <c r="AC28" s="33">
        <f>S28/101419*100</f>
        <v>52.956546603693589</v>
      </c>
      <c r="AD28" s="32"/>
    </row>
    <row r="29" spans="1:30" ht="10.5" customHeight="1">
      <c r="A29" s="35" t="s">
        <v>54</v>
      </c>
      <c r="B29" s="32"/>
      <c r="C29" s="34">
        <v>10737</v>
      </c>
      <c r="D29" s="36">
        <f t="shared" si="0"/>
        <v>311.85918847483225</v>
      </c>
      <c r="E29" s="34">
        <v>312</v>
      </c>
      <c r="F29" s="32"/>
      <c r="G29" s="36">
        <v>34429</v>
      </c>
      <c r="H29" s="34">
        <v>92935</v>
      </c>
      <c r="I29" s="34"/>
      <c r="J29" s="34">
        <v>2699</v>
      </c>
      <c r="K29" s="34"/>
      <c r="L29" s="33">
        <f t="shared" ref="L29:L35" si="5">H29/C29</f>
        <v>8.6555834963211318</v>
      </c>
      <c r="M29" s="32"/>
      <c r="N29" s="34"/>
      <c r="O29" s="34">
        <v>117616</v>
      </c>
      <c r="P29" s="34"/>
      <c r="Q29" s="34">
        <f>O29/C29*1000</f>
        <v>10954.270280339015</v>
      </c>
      <c r="R29" s="34"/>
      <c r="S29" s="34">
        <v>58750</v>
      </c>
      <c r="T29" s="34"/>
      <c r="U29" s="34">
        <v>5610</v>
      </c>
      <c r="V29" s="32"/>
      <c r="W29" s="34">
        <f t="shared" si="2"/>
        <v>1706.4102936477971</v>
      </c>
      <c r="X29" s="34"/>
      <c r="Y29" s="34">
        <f t="shared" si="3"/>
        <v>632.16226394792068</v>
      </c>
      <c r="Z29" s="34"/>
      <c r="AA29" s="33">
        <f t="shared" si="4"/>
        <v>49.950686981363077</v>
      </c>
      <c r="AB29" s="32"/>
      <c r="AC29" s="33">
        <f>S29/110887*100</f>
        <v>52.981864420536219</v>
      </c>
      <c r="AD29" s="32"/>
    </row>
    <row r="30" spans="1:30" ht="10.5" customHeight="1">
      <c r="A30" s="35" t="s">
        <v>55</v>
      </c>
      <c r="B30" s="32"/>
      <c r="C30" s="34">
        <v>10958</v>
      </c>
      <c r="D30" s="34"/>
      <c r="E30" s="34">
        <v>312</v>
      </c>
      <c r="F30" s="32"/>
      <c r="G30" s="36">
        <v>35159</v>
      </c>
      <c r="H30" s="34">
        <v>91990</v>
      </c>
      <c r="I30" s="34"/>
      <c r="J30" s="34">
        <v>2616</v>
      </c>
      <c r="K30" s="34"/>
      <c r="L30" s="33">
        <f t="shared" si="5"/>
        <v>8.394780069355722</v>
      </c>
      <c r="M30" s="32"/>
      <c r="N30" s="32"/>
      <c r="O30" s="34">
        <v>131451</v>
      </c>
      <c r="P30" s="34"/>
      <c r="Q30" s="34">
        <v>11996</v>
      </c>
      <c r="R30" s="34"/>
      <c r="S30" s="34">
        <v>64810</v>
      </c>
      <c r="T30" s="34"/>
      <c r="U30" s="34">
        <v>6057</v>
      </c>
      <c r="V30" s="32"/>
      <c r="W30" s="34">
        <f t="shared" si="2"/>
        <v>1843.3402542734434</v>
      </c>
      <c r="X30" s="34"/>
      <c r="Y30" s="34">
        <f t="shared" si="3"/>
        <v>704.53310142406792</v>
      </c>
      <c r="Z30" s="34"/>
      <c r="AA30" s="33">
        <f t="shared" si="4"/>
        <v>49.30354276498467</v>
      </c>
      <c r="AB30" s="32"/>
      <c r="AC30" s="33">
        <f>S30/120710*100</f>
        <v>53.690663573854692</v>
      </c>
      <c r="AD30" s="32"/>
    </row>
    <row r="31" spans="1:30" ht="10.5" customHeight="1">
      <c r="A31" s="35" t="s">
        <v>56</v>
      </c>
      <c r="B31" s="32"/>
      <c r="C31" s="34">
        <v>10979</v>
      </c>
      <c r="D31" s="34"/>
      <c r="E31" s="34">
        <v>306</v>
      </c>
      <c r="F31" s="34"/>
      <c r="G31" s="36">
        <v>35924</v>
      </c>
      <c r="H31" s="34">
        <v>87883</v>
      </c>
      <c r="I31" s="34"/>
      <c r="J31" s="34">
        <v>2446</v>
      </c>
      <c r="K31" s="34"/>
      <c r="L31" s="33">
        <f t="shared" si="5"/>
        <v>8.004645231806176</v>
      </c>
      <c r="M31" s="34"/>
      <c r="N31" s="34"/>
      <c r="O31" s="34">
        <v>139375</v>
      </c>
      <c r="P31" s="32"/>
      <c r="Q31" s="34">
        <v>12695</v>
      </c>
      <c r="R31" s="34"/>
      <c r="S31" s="34">
        <v>67260</v>
      </c>
      <c r="T31" s="34"/>
      <c r="U31" s="34">
        <v>6257</v>
      </c>
      <c r="V31" s="34"/>
      <c r="W31" s="34">
        <f t="shared" si="2"/>
        <v>1872.2859369780649</v>
      </c>
      <c r="X31" s="34"/>
      <c r="Y31" s="34">
        <f t="shared" si="3"/>
        <v>765.33573045981586</v>
      </c>
      <c r="Z31" s="34"/>
      <c r="AA31" s="33">
        <f t="shared" si="4"/>
        <v>48.258295964125558</v>
      </c>
      <c r="AB31" s="34"/>
      <c r="AC31" s="33">
        <f>S31/129385*100</f>
        <v>51.98438768017931</v>
      </c>
      <c r="AD31" s="34"/>
    </row>
    <row r="32" spans="1:30" ht="10.5" customHeight="1">
      <c r="A32" s="35" t="s">
        <v>57</v>
      </c>
      <c r="B32" s="32"/>
      <c r="C32" s="34">
        <v>11282</v>
      </c>
      <c r="D32" s="34"/>
      <c r="E32" s="34">
        <v>335</v>
      </c>
      <c r="F32" s="34"/>
      <c r="G32" s="36">
        <v>33681</v>
      </c>
      <c r="H32" s="34">
        <v>84742</v>
      </c>
      <c r="I32" s="34"/>
      <c r="J32" s="34">
        <v>2516</v>
      </c>
      <c r="K32" s="34"/>
      <c r="L32" s="33">
        <f t="shared" si="5"/>
        <v>7.5112568693494062</v>
      </c>
      <c r="M32" s="34"/>
      <c r="N32" s="34"/>
      <c r="O32" s="34">
        <v>146074</v>
      </c>
      <c r="P32" s="34"/>
      <c r="Q32" s="34">
        <v>12948</v>
      </c>
      <c r="R32" s="34"/>
      <c r="S32" s="34">
        <v>70624</v>
      </c>
      <c r="T32" s="34"/>
      <c r="U32" s="34">
        <v>6377</v>
      </c>
      <c r="V32" s="34"/>
      <c r="W32" s="34">
        <f t="shared" si="2"/>
        <v>2096.8498560019002</v>
      </c>
      <c r="X32" s="34"/>
      <c r="Y32" s="34">
        <f t="shared" si="3"/>
        <v>833.40020296901184</v>
      </c>
      <c r="Z32" s="34"/>
      <c r="AA32" s="33">
        <f t="shared" si="4"/>
        <v>48.348097539603216</v>
      </c>
      <c r="AB32" s="34"/>
      <c r="AC32" s="33">
        <f>S32/146549*100</f>
        <v>48.191389910541865</v>
      </c>
      <c r="AD32" s="34"/>
    </row>
    <row r="33" spans="1:30" ht="10.5" customHeight="1">
      <c r="A33" s="35" t="s">
        <v>58</v>
      </c>
      <c r="B33" s="32"/>
      <c r="C33" s="34">
        <v>11435</v>
      </c>
      <c r="D33" s="34"/>
      <c r="E33" s="34">
        <v>340</v>
      </c>
      <c r="F33" s="34"/>
      <c r="G33" s="36">
        <v>33661</v>
      </c>
      <c r="H33" s="34">
        <v>80056</v>
      </c>
      <c r="I33" s="34"/>
      <c r="J33" s="34">
        <v>2378</v>
      </c>
      <c r="K33" s="34"/>
      <c r="L33" s="33">
        <f t="shared" si="5"/>
        <v>7.0009619588981202</v>
      </c>
      <c r="M33" s="34"/>
      <c r="N33" s="34"/>
      <c r="O33" s="34">
        <v>149502</v>
      </c>
      <c r="P33" s="34"/>
      <c r="Q33" s="34">
        <v>13074</v>
      </c>
      <c r="R33" s="34"/>
      <c r="S33" s="34">
        <v>74836</v>
      </c>
      <c r="T33" s="34"/>
      <c r="U33" s="34">
        <v>6656</v>
      </c>
      <c r="V33" s="34"/>
      <c r="W33" s="34">
        <f t="shared" si="2"/>
        <v>2223.2256914530167</v>
      </c>
      <c r="X33" s="34"/>
      <c r="Y33" s="34">
        <f t="shared" si="3"/>
        <v>934.79564304986502</v>
      </c>
      <c r="Z33" s="34"/>
      <c r="AA33" s="33">
        <f t="shared" si="4"/>
        <v>50.056855426683256</v>
      </c>
      <c r="AB33" s="34"/>
      <c r="AC33" s="33">
        <f>S33/158980*100</f>
        <v>47.072587746886398</v>
      </c>
      <c r="AD33" s="34"/>
    </row>
    <row r="34" spans="1:30" ht="10.5" customHeight="1">
      <c r="A34" s="35" t="s">
        <v>59</v>
      </c>
      <c r="B34" s="32"/>
      <c r="C34" s="34">
        <v>11474</v>
      </c>
      <c r="D34" s="34"/>
      <c r="E34" s="34">
        <v>345</v>
      </c>
      <c r="F34" s="34"/>
      <c r="G34" s="32"/>
      <c r="H34" s="34">
        <v>75660</v>
      </c>
      <c r="I34" s="34"/>
      <c r="J34" s="34">
        <v>2272</v>
      </c>
      <c r="K34" s="34"/>
      <c r="L34" s="33">
        <f t="shared" si="5"/>
        <v>6.5940386961826736</v>
      </c>
      <c r="M34" s="34"/>
      <c r="N34" s="34"/>
      <c r="O34" s="34">
        <v>152854</v>
      </c>
      <c r="P34" s="34"/>
      <c r="Q34" s="34">
        <v>13322</v>
      </c>
      <c r="R34" s="34"/>
      <c r="S34" s="34">
        <v>78546</v>
      </c>
      <c r="T34" s="34"/>
      <c r="U34" s="34">
        <v>6953</v>
      </c>
      <c r="V34" s="34"/>
      <c r="W34" s="34">
        <f>(S34/33300)*1000</f>
        <v>2358.7387387387389</v>
      </c>
      <c r="X34" s="34"/>
      <c r="Y34" s="34">
        <f t="shared" ref="Y34:Y39" si="6">S34/H34*1000</f>
        <v>1038.1443298969073</v>
      </c>
      <c r="Z34" s="34"/>
      <c r="AA34" s="33">
        <f t="shared" si="4"/>
        <v>51.386290185405684</v>
      </c>
      <c r="AB34" s="34"/>
      <c r="AC34" s="33">
        <f>S34/167062*100</f>
        <v>47.016077863308233</v>
      </c>
      <c r="AD34" s="34"/>
    </row>
    <row r="35" spans="1:30" ht="10.5" customHeight="1">
      <c r="A35" s="35" t="s">
        <v>60</v>
      </c>
      <c r="B35" s="32"/>
      <c r="C35" s="34">
        <v>11527</v>
      </c>
      <c r="D35" s="34"/>
      <c r="E35" s="34">
        <v>353</v>
      </c>
      <c r="F35" s="34"/>
      <c r="G35" s="32"/>
      <c r="H35" s="34">
        <v>73029</v>
      </c>
      <c r="I35" s="34"/>
      <c r="J35" s="34">
        <v>2239</v>
      </c>
      <c r="K35" s="34"/>
      <c r="L35" s="33">
        <f t="shared" si="5"/>
        <v>6.3354732367485038</v>
      </c>
      <c r="M35" s="34"/>
      <c r="N35" s="34"/>
      <c r="O35" s="34">
        <v>159285</v>
      </c>
      <c r="P35" s="34"/>
      <c r="Q35" s="34">
        <v>13818</v>
      </c>
      <c r="R35" s="34"/>
      <c r="S35" s="34">
        <v>80725</v>
      </c>
      <c r="T35" s="34"/>
      <c r="U35" s="34">
        <v>7118</v>
      </c>
      <c r="V35" s="34"/>
      <c r="W35" s="34">
        <f>(S35/32614)*1000</f>
        <v>2475.1640399828293</v>
      </c>
      <c r="X35" s="34"/>
      <c r="Y35" s="34">
        <f t="shared" si="6"/>
        <v>1105.3827931369731</v>
      </c>
      <c r="Z35" s="34"/>
      <c r="AA35" s="33">
        <f t="shared" si="4"/>
        <v>50.679599460087267</v>
      </c>
      <c r="AB35" s="34"/>
      <c r="AC35" s="33">
        <f>S35/175423*100</f>
        <v>46.01734094160971</v>
      </c>
      <c r="AD35" s="34"/>
    </row>
    <row r="36" spans="1:30" ht="10.5" customHeight="1">
      <c r="A36" s="35" t="s">
        <v>61</v>
      </c>
      <c r="B36" s="32"/>
      <c r="C36" s="34">
        <v>11355</v>
      </c>
      <c r="D36" s="34"/>
      <c r="E36" s="34">
        <v>355</v>
      </c>
      <c r="F36" s="34"/>
      <c r="G36" s="32"/>
      <c r="H36" s="34">
        <v>70055</v>
      </c>
      <c r="I36" s="34"/>
      <c r="J36" s="34">
        <v>2192</v>
      </c>
      <c r="K36" s="34"/>
      <c r="L36" s="33">
        <f t="shared" ref="L36:L41" si="7">H36/C36</f>
        <v>6.1695288419198588</v>
      </c>
      <c r="M36" s="34"/>
      <c r="N36" s="34"/>
      <c r="O36" s="34">
        <v>163541</v>
      </c>
      <c r="P36" s="34"/>
      <c r="Q36" s="34">
        <v>14402</v>
      </c>
      <c r="R36" s="34"/>
      <c r="S36" s="34">
        <v>78364</v>
      </c>
      <c r="T36" s="34"/>
      <c r="U36" s="34">
        <v>7021</v>
      </c>
      <c r="V36" s="34"/>
      <c r="W36" s="34">
        <f>(S36/31955)*1000</f>
        <v>2452.3235800344232</v>
      </c>
      <c r="X36" s="34"/>
      <c r="Y36" s="34">
        <f t="shared" si="6"/>
        <v>1118.6068089358362</v>
      </c>
      <c r="Z36" s="34"/>
      <c r="AA36" s="33">
        <f t="shared" si="4"/>
        <v>47.917036094924207</v>
      </c>
      <c r="AB36" s="34"/>
      <c r="AC36" s="33">
        <f>S36/168174*100</f>
        <v>46.596976940549666</v>
      </c>
      <c r="AD36" s="34"/>
    </row>
    <row r="37" spans="1:30" ht="10.5" customHeight="1">
      <c r="A37" s="35" t="s">
        <v>62</v>
      </c>
      <c r="B37" s="32"/>
      <c r="C37" s="34">
        <v>11605</v>
      </c>
      <c r="D37" s="34"/>
      <c r="E37" s="34">
        <v>365</v>
      </c>
      <c r="F37" s="34"/>
      <c r="G37" s="32"/>
      <c r="H37" s="34">
        <v>70508</v>
      </c>
      <c r="I37" s="34"/>
      <c r="J37" s="34">
        <v>2219</v>
      </c>
      <c r="K37" s="34"/>
      <c r="L37" s="33">
        <f t="shared" si="7"/>
        <v>6.0756570443774232</v>
      </c>
      <c r="M37" s="34"/>
      <c r="N37" s="34"/>
      <c r="O37" s="34">
        <v>178399</v>
      </c>
      <c r="P37" s="34"/>
      <c r="Q37" s="34">
        <v>15373</v>
      </c>
      <c r="R37" s="34"/>
      <c r="S37" s="34">
        <v>79013</v>
      </c>
      <c r="T37" s="34"/>
      <c r="U37" s="34">
        <v>6920</v>
      </c>
      <c r="V37" s="34"/>
      <c r="W37" s="34">
        <f>(S37/31777)*1000</f>
        <v>2486.483934921484</v>
      </c>
      <c r="X37" s="34"/>
      <c r="Y37" s="34">
        <f t="shared" si="6"/>
        <v>1120.6246099733364</v>
      </c>
      <c r="Z37" s="34"/>
      <c r="AA37" s="33">
        <f>S37/O37*100</f>
        <v>44.290046468870344</v>
      </c>
      <c r="AB37" s="34"/>
      <c r="AC37" s="33">
        <f>S37/166686*100</f>
        <v>47.402301333045365</v>
      </c>
      <c r="AD37" s="34"/>
    </row>
    <row r="38" spans="1:30" ht="11.25" customHeight="1">
      <c r="A38" s="35" t="s">
        <v>63</v>
      </c>
      <c r="B38" s="32"/>
      <c r="C38" s="34">
        <v>11720</v>
      </c>
      <c r="D38" s="34"/>
      <c r="E38" s="34">
        <v>363</v>
      </c>
      <c r="F38" s="34"/>
      <c r="G38" s="32"/>
      <c r="H38" s="34">
        <v>70330</v>
      </c>
      <c r="I38" s="34"/>
      <c r="J38" s="34">
        <v>2175</v>
      </c>
      <c r="K38" s="34"/>
      <c r="L38" s="33">
        <f t="shared" si="7"/>
        <v>6.0008532423208187</v>
      </c>
      <c r="M38" s="34"/>
      <c r="N38" s="34"/>
      <c r="O38" s="34">
        <v>196017</v>
      </c>
      <c r="P38" s="34"/>
      <c r="Q38" s="34">
        <v>16725</v>
      </c>
      <c r="R38" s="34"/>
      <c r="S38" s="34">
        <v>81231</v>
      </c>
      <c r="T38" s="34"/>
      <c r="U38" s="34">
        <v>6971</v>
      </c>
      <c r="V38" s="34"/>
      <c r="W38" s="34">
        <f>(S38/32329)*1000</f>
        <v>2512.6357140647715</v>
      </c>
      <c r="X38" s="34"/>
      <c r="Y38" s="34">
        <f t="shared" si="6"/>
        <v>1154.9978671974975</v>
      </c>
      <c r="Z38" s="34"/>
      <c r="AA38" s="33">
        <f t="shared" si="4"/>
        <v>41.440793400572403</v>
      </c>
      <c r="AB38" s="34"/>
      <c r="AC38" s="33">
        <f>S38/174261*100</f>
        <v>46.614560917244823</v>
      </c>
      <c r="AD38" s="34"/>
    </row>
    <row r="39" spans="1:30" ht="10.5" customHeight="1">
      <c r="A39" s="35" t="s">
        <v>64</v>
      </c>
      <c r="B39" s="32"/>
      <c r="C39" s="34">
        <v>12231</v>
      </c>
      <c r="D39" s="34"/>
      <c r="E39" s="34">
        <v>366</v>
      </c>
      <c r="F39" s="34"/>
      <c r="G39" s="32"/>
      <c r="H39" s="34">
        <v>72607</v>
      </c>
      <c r="I39" s="34"/>
      <c r="J39" s="34">
        <v>2171</v>
      </c>
      <c r="K39" s="34"/>
      <c r="L39" s="33">
        <f t="shared" si="7"/>
        <v>5.9363093778104812</v>
      </c>
      <c r="M39" s="34"/>
      <c r="N39" s="34"/>
      <c r="O39" s="34">
        <v>227145</v>
      </c>
      <c r="P39" s="34"/>
      <c r="Q39" s="34">
        <v>18572</v>
      </c>
      <c r="R39" s="34"/>
      <c r="S39" s="34">
        <v>88323</v>
      </c>
      <c r="T39" s="34"/>
      <c r="U39" s="34">
        <v>7262</v>
      </c>
      <c r="V39" s="34"/>
      <c r="W39" s="34">
        <f>(S39/33446)*1000</f>
        <v>2640.7642169467199</v>
      </c>
      <c r="X39" s="34"/>
      <c r="Y39" s="34">
        <f t="shared" si="6"/>
        <v>1216.4529590810805</v>
      </c>
      <c r="Z39" s="34"/>
      <c r="AA39" s="33">
        <f t="shared" ref="AA39:AA44" si="8">S39/O39*100</f>
        <v>38.883972792709507</v>
      </c>
      <c r="AB39" s="34"/>
      <c r="AC39" s="33">
        <f>S39/197505*100</f>
        <v>44.7193741930584</v>
      </c>
      <c r="AD39" s="34"/>
    </row>
    <row r="40" spans="1:30" ht="10.5" customHeight="1">
      <c r="A40" s="35" t="s">
        <v>65</v>
      </c>
      <c r="B40" s="32"/>
      <c r="C40" s="34">
        <v>12607</v>
      </c>
      <c r="D40" s="34"/>
      <c r="E40" s="34">
        <v>365</v>
      </c>
      <c r="F40" s="34"/>
      <c r="G40" s="32"/>
      <c r="H40" s="34">
        <v>74566</v>
      </c>
      <c r="I40" s="34"/>
      <c r="J40" s="34">
        <v>2158</v>
      </c>
      <c r="K40" s="34"/>
      <c r="L40" s="33">
        <f t="shared" si="7"/>
        <v>5.9146505909415401</v>
      </c>
      <c r="M40" s="34"/>
      <c r="N40" s="34"/>
      <c r="O40" s="34">
        <v>271750</v>
      </c>
      <c r="P40" s="34"/>
      <c r="Q40" s="34">
        <v>21555</v>
      </c>
      <c r="R40" s="34"/>
      <c r="S40" s="34">
        <v>94194</v>
      </c>
      <c r="T40" s="34"/>
      <c r="U40" s="34">
        <v>7507</v>
      </c>
      <c r="V40" s="34"/>
      <c r="W40" s="34">
        <f>(S40/34557)*1000</f>
        <v>2725.7574442225887</v>
      </c>
      <c r="X40" s="34"/>
      <c r="Y40" s="34">
        <f t="shared" ref="Y40:Y45" si="9">S40/H40*1000</f>
        <v>1263.2298902985276</v>
      </c>
      <c r="Z40" s="34"/>
      <c r="AA40" s="33">
        <f t="shared" si="8"/>
        <v>34.662005519779207</v>
      </c>
      <c r="AB40" s="34"/>
      <c r="AC40" s="33">
        <f>S40/215411*100</f>
        <v>43.727571943865442</v>
      </c>
      <c r="AD40" s="34"/>
    </row>
    <row r="41" spans="1:30" ht="10.5" customHeight="1">
      <c r="A41" s="35" t="s">
        <v>66</v>
      </c>
      <c r="B41" s="32"/>
      <c r="C41" s="34">
        <v>12858</v>
      </c>
      <c r="D41" s="34"/>
      <c r="E41" s="34">
        <v>363</v>
      </c>
      <c r="F41" s="34"/>
      <c r="G41" s="32"/>
      <c r="H41" s="34">
        <v>75230</v>
      </c>
      <c r="I41" s="34"/>
      <c r="J41" s="34">
        <v>2126</v>
      </c>
      <c r="K41" s="34"/>
      <c r="L41" s="33">
        <f t="shared" si="7"/>
        <v>5.8508321667444392</v>
      </c>
      <c r="M41" s="34"/>
      <c r="N41" s="34"/>
      <c r="O41" s="34">
        <v>310889</v>
      </c>
      <c r="P41" s="34"/>
      <c r="Q41" s="34">
        <v>24180</v>
      </c>
      <c r="R41" s="34"/>
      <c r="S41" s="34">
        <v>98432</v>
      </c>
      <c r="T41" s="34"/>
      <c r="U41" s="34">
        <v>7691</v>
      </c>
      <c r="V41" s="34"/>
      <c r="W41" s="34">
        <f>(S41/35389)*1000</f>
        <v>2781.4292576789398</v>
      </c>
      <c r="X41" s="34"/>
      <c r="Y41" s="34">
        <f t="shared" si="9"/>
        <v>1308.4141964641765</v>
      </c>
      <c r="Z41" s="34"/>
      <c r="AA41" s="33">
        <f t="shared" si="8"/>
        <v>31.661461164595721</v>
      </c>
      <c r="AB41" s="34"/>
      <c r="AC41" s="33">
        <f>S41/232821*100</f>
        <v>42.277973206884255</v>
      </c>
      <c r="AD41" s="34"/>
    </row>
    <row r="42" spans="1:30" ht="10.5" customHeight="1">
      <c r="A42" s="35" t="s">
        <v>67</v>
      </c>
      <c r="B42" s="32"/>
      <c r="C42" s="34">
        <v>12918</v>
      </c>
      <c r="D42" s="34"/>
      <c r="E42" s="34">
        <v>359</v>
      </c>
      <c r="F42" s="34"/>
      <c r="G42" s="32"/>
      <c r="H42" s="34">
        <v>74606</v>
      </c>
      <c r="I42" s="34"/>
      <c r="J42" s="34">
        <v>2072</v>
      </c>
      <c r="K42" s="34"/>
      <c r="L42" s="33">
        <f t="shared" ref="L42:L47" si="10">H42/C42</f>
        <v>5.7753522217061466</v>
      </c>
      <c r="M42" s="34"/>
      <c r="N42" s="34"/>
      <c r="O42" s="34">
        <v>341749</v>
      </c>
      <c r="P42" s="34"/>
      <c r="Q42" s="34">
        <v>26455</v>
      </c>
      <c r="R42" s="34"/>
      <c r="S42" s="34">
        <v>102648</v>
      </c>
      <c r="T42" s="34"/>
      <c r="U42" s="34">
        <v>7985</v>
      </c>
      <c r="V42" s="34"/>
      <c r="W42" s="34">
        <f>(S42/36011)*1000</f>
        <v>2850.4623587237234</v>
      </c>
      <c r="X42" s="34"/>
      <c r="Y42" s="34">
        <f t="shared" si="9"/>
        <v>1375.8678926627886</v>
      </c>
      <c r="Z42" s="34"/>
      <c r="AA42" s="33">
        <f t="shared" si="8"/>
        <v>30.036079110692349</v>
      </c>
      <c r="AB42" s="34"/>
      <c r="AC42" s="33">
        <f>S42/255325*100</f>
        <v>40.202878684030161</v>
      </c>
      <c r="AD42" s="34"/>
    </row>
    <row r="43" spans="1:30" ht="10.5" customHeight="1">
      <c r="A43" s="35" t="s">
        <v>68</v>
      </c>
      <c r="B43" s="32"/>
      <c r="C43" s="34">
        <v>12904</v>
      </c>
      <c r="D43" s="34"/>
      <c r="E43" s="34">
        <v>355</v>
      </c>
      <c r="F43" s="34"/>
      <c r="G43" s="32"/>
      <c r="H43" s="34">
        <v>73996</v>
      </c>
      <c r="I43" s="34"/>
      <c r="J43" s="34">
        <v>2037</v>
      </c>
      <c r="K43" s="34"/>
      <c r="L43" s="33">
        <f t="shared" si="10"/>
        <v>5.7343459392436458</v>
      </c>
      <c r="M43" s="34"/>
      <c r="N43" s="34"/>
      <c r="O43" s="34">
        <v>369775</v>
      </c>
      <c r="P43" s="34"/>
      <c r="Q43" s="34">
        <v>28656</v>
      </c>
      <c r="R43" s="34"/>
      <c r="S43" s="34">
        <v>107615</v>
      </c>
      <c r="T43" s="34"/>
      <c r="U43" s="34">
        <v>8383</v>
      </c>
      <c r="V43" s="34"/>
      <c r="W43" s="34">
        <f>(S43/36318)*1000</f>
        <v>2963.1312296932651</v>
      </c>
      <c r="X43" s="34"/>
      <c r="Y43" s="34">
        <f t="shared" si="9"/>
        <v>1454.3353694794314</v>
      </c>
      <c r="Z43" s="34"/>
      <c r="AA43" s="33">
        <f t="shared" si="8"/>
        <v>29.102832803731999</v>
      </c>
      <c r="AB43" s="34"/>
      <c r="AC43" s="33">
        <f>S43/274143*100</f>
        <v>39.255060315236939</v>
      </c>
      <c r="AD43" s="34"/>
    </row>
    <row r="44" spans="1:30" ht="10.5" customHeight="1">
      <c r="A44" s="35" t="s">
        <v>69</v>
      </c>
      <c r="B44" s="32"/>
      <c r="C44" s="34">
        <v>12384</v>
      </c>
      <c r="D44" s="34"/>
      <c r="E44" s="34">
        <v>349</v>
      </c>
      <c r="F44" s="34"/>
      <c r="G44" s="32"/>
      <c r="H44" s="34">
        <v>70301</v>
      </c>
      <c r="I44" s="34"/>
      <c r="J44" s="34">
        <v>1981</v>
      </c>
      <c r="K44" s="34"/>
      <c r="L44" s="33">
        <f t="shared" si="10"/>
        <v>5.6767603359173124</v>
      </c>
      <c r="M44" s="34"/>
      <c r="N44" s="34"/>
      <c r="O44" s="34">
        <v>382766</v>
      </c>
      <c r="P44" s="34"/>
      <c r="Q44" s="34">
        <v>30908</v>
      </c>
      <c r="R44" s="34"/>
      <c r="S44" s="34">
        <v>106758</v>
      </c>
      <c r="T44" s="34"/>
      <c r="U44" s="34">
        <v>8669</v>
      </c>
      <c r="V44" s="34"/>
      <c r="W44" s="34">
        <f>(S44/35487)*1000</f>
        <v>3008.3692619832614</v>
      </c>
      <c r="X44" s="34"/>
      <c r="Y44" s="34">
        <f t="shared" si="9"/>
        <v>1518.5843729107694</v>
      </c>
      <c r="Z44" s="34"/>
      <c r="AA44" s="33">
        <f t="shared" si="8"/>
        <v>27.891192007649586</v>
      </c>
      <c r="AB44" s="34"/>
      <c r="AC44" s="33">
        <f>S44/280672*100</f>
        <v>38.036569376353896</v>
      </c>
      <c r="AD44" s="34"/>
    </row>
    <row r="45" spans="1:30" ht="10.5" customHeight="1">
      <c r="A45" s="35" t="s">
        <v>79</v>
      </c>
      <c r="B45" s="32"/>
      <c r="C45" s="34">
        <v>12036</v>
      </c>
      <c r="D45" s="34"/>
      <c r="E45" s="34">
        <v>343</v>
      </c>
      <c r="F45" s="34"/>
      <c r="G45" s="32"/>
      <c r="H45" s="34">
        <v>68048</v>
      </c>
      <c r="I45" s="34"/>
      <c r="J45" s="34">
        <v>1936</v>
      </c>
      <c r="K45" s="34"/>
      <c r="L45" s="33">
        <f t="shared" si="10"/>
        <v>5.6537055500166167</v>
      </c>
      <c r="M45" s="34"/>
      <c r="N45" s="34"/>
      <c r="O45" s="34">
        <v>397852</v>
      </c>
      <c r="P45" s="34"/>
      <c r="Q45" s="34">
        <v>33054</v>
      </c>
      <c r="R45" s="34"/>
      <c r="S45" s="34">
        <v>106784</v>
      </c>
      <c r="T45" s="34"/>
      <c r="U45" s="34">
        <v>8926</v>
      </c>
      <c r="V45" s="34"/>
      <c r="W45" s="34">
        <f>(S45/35141)*1000</f>
        <v>3038.7296889673034</v>
      </c>
      <c r="X45" s="34"/>
      <c r="Y45" s="34">
        <f t="shared" si="9"/>
        <v>1569.2452386550669</v>
      </c>
      <c r="Z45" s="34"/>
      <c r="AA45" s="33">
        <f>S45/O45*100</f>
        <v>26.840131506188232</v>
      </c>
      <c r="AB45" s="34"/>
      <c r="AC45" s="33">
        <f>S45/288504*100</f>
        <v>37.013005018994541</v>
      </c>
      <c r="AD45" s="34"/>
    </row>
    <row r="46" spans="1:30" ht="10.5" customHeight="1">
      <c r="A46" s="35" t="s">
        <v>80</v>
      </c>
      <c r="B46" s="32"/>
      <c r="C46" s="34">
        <v>11821</v>
      </c>
      <c r="D46" s="34"/>
      <c r="E46" s="34">
        <v>338</v>
      </c>
      <c r="F46" s="34"/>
      <c r="G46" s="32"/>
      <c r="H46" s="34">
        <v>66591</v>
      </c>
      <c r="I46" s="34"/>
      <c r="J46" s="34">
        <v>1904</v>
      </c>
      <c r="K46" s="34"/>
      <c r="L46" s="33">
        <f t="shared" si="10"/>
        <v>5.6332797563657895</v>
      </c>
      <c r="M46" s="34"/>
      <c r="N46" s="34"/>
      <c r="O46" s="34">
        <v>420206</v>
      </c>
      <c r="P46" s="34"/>
      <c r="Q46" s="34">
        <v>35548</v>
      </c>
      <c r="R46" s="34"/>
      <c r="S46" s="34">
        <v>110232</v>
      </c>
      <c r="T46" s="34"/>
      <c r="U46" s="34">
        <v>9390</v>
      </c>
      <c r="V46" s="34"/>
      <c r="W46" s="34">
        <f>(S46/34981.883)*1000</f>
        <v>3151.1168223848895</v>
      </c>
      <c r="X46" s="34"/>
      <c r="Y46" s="34">
        <f t="shared" ref="Y46" si="11">S46/H46*1000</f>
        <v>1655.3588322746318</v>
      </c>
      <c r="Z46" s="34"/>
      <c r="AA46" s="33">
        <f>S46/O46*100</f>
        <v>26.232847698509776</v>
      </c>
      <c r="AB46" s="34"/>
      <c r="AC46" s="54">
        <f>S46/301136.267*100</f>
        <v>36.605355143092083</v>
      </c>
      <c r="AD46" s="34"/>
    </row>
    <row r="47" spans="1:30" ht="10.5" customHeight="1">
      <c r="A47" s="35" t="s">
        <v>82</v>
      </c>
      <c r="B47" s="32"/>
      <c r="C47" s="34">
        <v>11558</v>
      </c>
      <c r="D47" s="34"/>
      <c r="E47" s="34">
        <v>330</v>
      </c>
      <c r="F47" s="34"/>
      <c r="G47" s="32"/>
      <c r="H47" s="34">
        <v>63442</v>
      </c>
      <c r="I47" s="34"/>
      <c r="J47" s="34">
        <v>1811</v>
      </c>
      <c r="K47" s="34"/>
      <c r="L47" s="33">
        <f t="shared" si="10"/>
        <v>5.4890119397819692</v>
      </c>
      <c r="M47" s="34"/>
      <c r="N47" s="34"/>
      <c r="O47" s="34">
        <v>438092</v>
      </c>
      <c r="P47" s="34"/>
      <c r="Q47" s="34">
        <v>37903</v>
      </c>
      <c r="R47" s="34"/>
      <c r="S47" s="34">
        <v>114516</v>
      </c>
      <c r="T47" s="34"/>
      <c r="U47" s="34">
        <v>9977</v>
      </c>
      <c r="V47" s="34"/>
      <c r="W47" s="34">
        <f>(S47/35041.077)*1000</f>
        <v>3268.0502371545258</v>
      </c>
      <c r="X47" s="34"/>
      <c r="Y47" s="34">
        <f t="shared" ref="Y47" si="12">S47/H47*1000</f>
        <v>1805.0502821474731</v>
      </c>
      <c r="Z47" s="34"/>
      <c r="AA47" s="33">
        <f>S47/O47*100</f>
        <v>26.139714945719163</v>
      </c>
      <c r="AB47" s="34"/>
      <c r="AC47" s="54">
        <f>S47/318008.567*100</f>
        <v>36.010350626811885</v>
      </c>
      <c r="AD47" s="34"/>
    </row>
    <row r="48" spans="1:30" ht="10.5" customHeight="1">
      <c r="A48" s="35"/>
      <c r="B48" s="32"/>
      <c r="C48" s="34"/>
      <c r="D48" s="34"/>
      <c r="E48" s="34"/>
      <c r="F48" s="34"/>
      <c r="G48" s="32"/>
      <c r="H48" s="34"/>
      <c r="I48" s="34"/>
      <c r="J48" s="34"/>
      <c r="K48" s="34"/>
      <c r="L48" s="33"/>
      <c r="M48" s="34"/>
      <c r="N48" s="34"/>
      <c r="O48" s="34"/>
      <c r="P48" s="34"/>
      <c r="Q48" s="34"/>
      <c r="R48" s="34"/>
      <c r="S48" s="34"/>
      <c r="T48" s="34"/>
      <c r="U48" s="34"/>
      <c r="V48" s="34"/>
      <c r="W48" s="34"/>
      <c r="X48" s="34"/>
      <c r="Y48" s="34"/>
      <c r="Z48" s="34"/>
      <c r="AA48" s="33"/>
      <c r="AB48" s="34"/>
      <c r="AC48" s="54"/>
      <c r="AD48" s="34"/>
    </row>
    <row r="49" spans="1:31" ht="10.5" customHeight="1">
      <c r="A49" s="35"/>
      <c r="B49" s="32"/>
      <c r="C49" s="34"/>
      <c r="D49" s="34"/>
      <c r="E49" s="34"/>
      <c r="F49" s="34"/>
      <c r="G49" s="32"/>
      <c r="H49" s="34"/>
      <c r="I49" s="34"/>
      <c r="J49" s="34"/>
      <c r="K49" s="34"/>
      <c r="L49" s="33"/>
      <c r="M49" s="34"/>
      <c r="N49" s="34"/>
      <c r="O49" s="34"/>
      <c r="P49" s="34"/>
      <c r="Q49" s="34"/>
      <c r="R49" s="34"/>
      <c r="S49" s="34"/>
      <c r="T49" s="34"/>
      <c r="U49" s="34"/>
      <c r="V49" s="34"/>
      <c r="W49" s="34"/>
      <c r="X49" s="34"/>
      <c r="Y49" s="34"/>
      <c r="Z49" s="34"/>
      <c r="AA49" s="33"/>
      <c r="AB49" s="34"/>
      <c r="AC49" s="54"/>
      <c r="AD49" s="34"/>
    </row>
    <row r="50" spans="1:31" ht="10.5" customHeight="1">
      <c r="A50" s="35"/>
      <c r="B50" s="32"/>
      <c r="C50" s="34"/>
      <c r="D50" s="34"/>
      <c r="E50" s="34"/>
      <c r="F50" s="34"/>
      <c r="G50" s="32"/>
      <c r="H50" s="34"/>
      <c r="I50" s="34"/>
      <c r="J50" s="34"/>
      <c r="K50" s="34"/>
      <c r="L50" s="33"/>
      <c r="M50" s="34"/>
      <c r="N50" s="34"/>
      <c r="O50" s="34"/>
      <c r="P50" s="34"/>
      <c r="Q50" s="34"/>
      <c r="R50" s="34"/>
      <c r="S50" s="34"/>
      <c r="T50" s="34"/>
      <c r="U50" s="34"/>
      <c r="V50" s="34"/>
      <c r="W50" s="34"/>
      <c r="X50" s="34"/>
      <c r="Y50" s="34"/>
      <c r="Z50" s="34"/>
      <c r="AA50" s="33"/>
      <c r="AB50" s="34"/>
      <c r="AC50" s="54"/>
      <c r="AD50" s="34"/>
    </row>
    <row r="51" spans="1:31" ht="10.5" customHeight="1">
      <c r="A51" s="35"/>
      <c r="B51" s="32"/>
      <c r="C51" s="34"/>
      <c r="D51" s="34"/>
      <c r="E51" s="34"/>
      <c r="F51" s="34"/>
      <c r="G51" s="32"/>
      <c r="H51" s="34"/>
      <c r="I51" s="34"/>
      <c r="J51" s="34"/>
      <c r="K51" s="34"/>
      <c r="L51" s="33"/>
      <c r="M51" s="34"/>
      <c r="N51" s="34"/>
      <c r="O51" s="34"/>
      <c r="P51" s="34"/>
      <c r="Q51" s="34"/>
      <c r="R51" s="34"/>
      <c r="S51" s="34"/>
      <c r="T51" s="34"/>
      <c r="U51" s="34"/>
      <c r="V51" s="34"/>
      <c r="W51" s="34"/>
      <c r="X51" s="34"/>
      <c r="Y51" s="34"/>
      <c r="Z51" s="34"/>
      <c r="AA51" s="33"/>
      <c r="AB51" s="34"/>
      <c r="AC51" s="54"/>
      <c r="AD51" s="34"/>
    </row>
    <row r="52" spans="1:31" ht="11.25">
      <c r="A52" s="32"/>
      <c r="B52" s="32"/>
      <c r="C52" s="32"/>
      <c r="D52" s="32"/>
      <c r="E52" s="32"/>
      <c r="F52" s="32"/>
      <c r="G52" s="32"/>
      <c r="H52" s="32"/>
      <c r="I52" s="32"/>
      <c r="J52" s="32"/>
      <c r="K52" s="32"/>
      <c r="L52" s="32"/>
      <c r="M52" s="32"/>
      <c r="N52" s="32"/>
      <c r="O52" s="32"/>
      <c r="P52" s="32"/>
      <c r="Q52" s="32"/>
      <c r="R52" s="32"/>
      <c r="S52" s="36">
        <f>S31-S30</f>
        <v>2450</v>
      </c>
      <c r="T52" s="32"/>
      <c r="U52" s="32"/>
      <c r="V52" s="32"/>
      <c r="W52" s="32"/>
      <c r="X52" s="32"/>
      <c r="Y52" s="32"/>
      <c r="Z52" s="32"/>
      <c r="AA52" s="32"/>
      <c r="AB52" s="32"/>
      <c r="AC52" s="32"/>
      <c r="AD52" s="32"/>
    </row>
    <row r="53" spans="1:31" ht="11.25">
      <c r="A53" s="32"/>
      <c r="B53" s="32"/>
      <c r="C53" s="32"/>
      <c r="D53" s="32"/>
      <c r="E53" s="32"/>
      <c r="F53" s="32"/>
      <c r="G53" s="32"/>
      <c r="H53" s="32"/>
      <c r="I53" s="32"/>
      <c r="J53" s="32"/>
      <c r="K53" s="32"/>
      <c r="L53" s="32"/>
      <c r="M53" s="32"/>
      <c r="N53" s="32"/>
      <c r="O53" s="32"/>
      <c r="P53" s="32"/>
      <c r="Q53" s="32"/>
      <c r="R53" s="32"/>
      <c r="S53" s="36"/>
      <c r="T53" s="32"/>
      <c r="U53" s="32"/>
      <c r="V53" s="32"/>
      <c r="W53" s="32"/>
      <c r="X53" s="32"/>
      <c r="Y53" s="32"/>
      <c r="Z53" s="32"/>
      <c r="AA53" s="32"/>
      <c r="AB53" s="32"/>
      <c r="AC53" s="32"/>
      <c r="AD53" s="32"/>
    </row>
    <row r="54" spans="1:31" ht="12">
      <c r="A54" s="28"/>
      <c r="B54" s="28"/>
      <c r="C54" s="28"/>
      <c r="D54" s="28"/>
      <c r="E54" s="28"/>
      <c r="F54" s="28"/>
      <c r="G54" s="28"/>
      <c r="H54" s="28"/>
      <c r="I54" s="28"/>
      <c r="J54" s="28"/>
      <c r="K54" s="28"/>
      <c r="L54" s="28"/>
      <c r="M54" s="28"/>
      <c r="N54" s="28"/>
      <c r="O54" s="28"/>
      <c r="P54" s="28"/>
      <c r="Q54" s="28"/>
      <c r="R54" s="28"/>
      <c r="S54" s="38"/>
      <c r="T54" s="28"/>
      <c r="U54" s="28"/>
      <c r="V54" s="28"/>
      <c r="W54" s="28"/>
      <c r="X54" s="28"/>
      <c r="Y54" s="28"/>
      <c r="Z54" s="28"/>
      <c r="AA54" s="28"/>
      <c r="AB54" s="28"/>
      <c r="AC54" s="28"/>
      <c r="AD54" s="28"/>
    </row>
    <row r="55" spans="1:31" ht="12">
      <c r="A55" s="28"/>
      <c r="B55" s="28"/>
      <c r="C55" s="28"/>
      <c r="D55" s="28"/>
      <c r="E55" s="28"/>
      <c r="F55" s="28"/>
      <c r="G55" s="28"/>
      <c r="H55" s="28"/>
      <c r="I55" s="28"/>
      <c r="J55" s="28"/>
      <c r="K55" s="28"/>
      <c r="L55" s="28"/>
      <c r="M55" s="28"/>
      <c r="N55" s="28"/>
      <c r="O55" s="28"/>
      <c r="P55" s="28"/>
      <c r="Q55" s="28"/>
      <c r="R55" s="28"/>
      <c r="S55" s="38">
        <f>S30-S29</f>
        <v>6060</v>
      </c>
      <c r="T55" s="28"/>
      <c r="U55" s="28"/>
      <c r="V55" s="28"/>
      <c r="W55" s="28"/>
      <c r="X55" s="28"/>
      <c r="Y55" s="28"/>
      <c r="Z55" s="28"/>
      <c r="AA55" s="28"/>
      <c r="AB55" s="28"/>
      <c r="AC55" s="28"/>
      <c r="AD55" s="28"/>
    </row>
    <row r="56" spans="1:31" ht="12">
      <c r="A56" s="28"/>
      <c r="B56" s="28"/>
      <c r="C56" s="28"/>
      <c r="D56" s="28"/>
      <c r="E56" s="28"/>
      <c r="F56" s="28"/>
      <c r="G56" s="28"/>
      <c r="H56" s="28"/>
      <c r="I56" s="28"/>
      <c r="J56" s="28"/>
      <c r="K56" s="28"/>
      <c r="L56" s="28"/>
      <c r="M56" s="28"/>
      <c r="N56" s="28"/>
      <c r="O56" s="28"/>
      <c r="P56" s="28"/>
      <c r="Q56" s="28"/>
      <c r="R56" s="28"/>
      <c r="S56" s="38">
        <f>S55/S29</f>
        <v>0.10314893617021277</v>
      </c>
      <c r="T56" s="28"/>
      <c r="U56" s="28"/>
      <c r="V56" s="28"/>
      <c r="W56" s="28"/>
      <c r="X56" s="28"/>
      <c r="Y56" s="28"/>
      <c r="Z56" s="28"/>
      <c r="AA56" s="28"/>
      <c r="AB56" s="28"/>
      <c r="AC56" s="28"/>
      <c r="AD56" s="28"/>
    </row>
    <row r="57" spans="1:31" ht="12">
      <c r="A57" s="28"/>
      <c r="B57" s="28"/>
      <c r="C57" s="28"/>
      <c r="D57" s="28"/>
      <c r="E57" s="28"/>
      <c r="F57" s="28"/>
      <c r="G57" s="28"/>
      <c r="H57" s="28"/>
      <c r="I57" s="28"/>
      <c r="J57" s="28"/>
      <c r="K57" s="28"/>
      <c r="L57" s="28"/>
      <c r="M57" s="28"/>
      <c r="N57" s="28"/>
      <c r="O57" s="28"/>
      <c r="P57" s="28"/>
      <c r="Q57" s="28"/>
      <c r="R57" s="28"/>
      <c r="S57" s="28"/>
      <c r="T57" s="28"/>
      <c r="U57" s="28"/>
      <c r="V57" s="28"/>
      <c r="W57" s="28"/>
      <c r="X57" s="28"/>
      <c r="Y57" s="28"/>
      <c r="Z57" s="28"/>
      <c r="AA57" s="28"/>
      <c r="AB57" s="28"/>
      <c r="AC57" s="28"/>
      <c r="AD57" s="28"/>
    </row>
    <row r="58" spans="1:31" ht="12">
      <c r="A58" s="28"/>
      <c r="B58" s="28"/>
      <c r="C58" s="28"/>
      <c r="D58" s="28"/>
      <c r="E58" s="28"/>
      <c r="F58" s="28"/>
      <c r="G58" s="28"/>
      <c r="H58" s="28"/>
      <c r="I58" s="28"/>
      <c r="J58" s="28"/>
      <c r="K58" s="28"/>
      <c r="L58" s="28"/>
      <c r="M58" s="28"/>
      <c r="N58" s="28"/>
      <c r="O58" s="28"/>
      <c r="P58" s="28"/>
      <c r="Q58" s="28"/>
      <c r="R58" s="28"/>
      <c r="S58" s="28"/>
      <c r="T58" s="28"/>
      <c r="U58" s="28"/>
      <c r="V58" s="28"/>
      <c r="W58" s="28"/>
      <c r="X58" s="28"/>
      <c r="Y58" s="28"/>
      <c r="Z58" s="28"/>
      <c r="AA58" s="28"/>
      <c r="AB58" s="28"/>
      <c r="AC58" s="28"/>
      <c r="AD58" s="28"/>
    </row>
    <row r="59" spans="1:31" ht="12">
      <c r="A59" s="28"/>
      <c r="B59" s="28"/>
      <c r="C59" s="28"/>
      <c r="D59" s="28"/>
      <c r="E59" s="28"/>
      <c r="F59" s="28"/>
      <c r="G59" s="28"/>
      <c r="H59" s="28"/>
      <c r="I59" s="28"/>
      <c r="J59" s="28"/>
      <c r="K59" s="28"/>
      <c r="L59" s="28"/>
      <c r="M59" s="28"/>
      <c r="N59" s="28"/>
      <c r="O59" s="28"/>
      <c r="P59" s="28"/>
      <c r="Q59" s="28"/>
      <c r="R59" s="28"/>
      <c r="S59" s="28"/>
      <c r="T59" s="28"/>
      <c r="U59" s="28"/>
      <c r="V59" s="28"/>
      <c r="W59" s="28"/>
      <c r="X59" s="28"/>
      <c r="Y59" s="28"/>
      <c r="Z59" s="28"/>
      <c r="AA59" s="28"/>
      <c r="AB59" s="28"/>
      <c r="AC59" s="28"/>
      <c r="AD59" s="28"/>
    </row>
    <row r="60" spans="1:31" ht="12">
      <c r="A60" s="28"/>
      <c r="B60" s="28"/>
      <c r="C60" s="28"/>
      <c r="D60" s="28"/>
      <c r="E60" s="28"/>
      <c r="F60" s="28"/>
      <c r="G60" s="28"/>
      <c r="H60" s="28"/>
      <c r="I60" s="28"/>
      <c r="J60" s="28"/>
      <c r="K60" s="28"/>
      <c r="L60" s="28"/>
      <c r="M60" s="28"/>
      <c r="N60" s="28"/>
      <c r="O60" s="28"/>
      <c r="P60" s="28"/>
      <c r="Q60" s="28"/>
      <c r="R60" s="28"/>
      <c r="S60" s="28"/>
      <c r="T60" s="28"/>
      <c r="U60" s="28"/>
      <c r="V60" s="28"/>
      <c r="W60" s="28"/>
      <c r="X60" s="28"/>
      <c r="Y60" s="28"/>
      <c r="Z60" s="28"/>
      <c r="AA60" s="28"/>
      <c r="AB60" s="28"/>
      <c r="AC60" s="28"/>
      <c r="AD60" s="28"/>
    </row>
    <row r="61" spans="1:31" ht="12">
      <c r="A61" s="28"/>
      <c r="B61" s="28"/>
      <c r="C61" s="28"/>
      <c r="D61" s="28"/>
      <c r="E61" s="28"/>
      <c r="F61" s="28"/>
      <c r="G61" s="28"/>
      <c r="H61" s="28"/>
      <c r="I61" s="28"/>
      <c r="J61" s="28"/>
      <c r="K61" s="28"/>
      <c r="L61" s="28"/>
      <c r="M61" s="28"/>
      <c r="N61" s="28"/>
      <c r="O61" s="28"/>
      <c r="P61" s="28"/>
      <c r="Q61" s="28"/>
      <c r="R61" s="28"/>
      <c r="S61" s="28"/>
      <c r="T61" s="28"/>
      <c r="U61" s="28"/>
      <c r="V61" s="28"/>
      <c r="W61" s="28"/>
      <c r="X61" s="28"/>
      <c r="Y61" s="28"/>
      <c r="Z61" s="28"/>
      <c r="AA61" s="28"/>
      <c r="AB61" s="28"/>
      <c r="AC61" s="28"/>
      <c r="AD61" s="28"/>
    </row>
    <row r="62" spans="1:31" s="1" customFormat="1" ht="15" customHeight="1">
      <c r="A62" s="9" t="s">
        <v>52</v>
      </c>
      <c r="B62" s="12"/>
      <c r="C62" s="12"/>
      <c r="D62" s="12"/>
      <c r="E62" s="11"/>
      <c r="F62" s="12"/>
      <c r="G62" s="12"/>
      <c r="H62" s="12"/>
      <c r="I62" s="12"/>
      <c r="J62" s="12"/>
      <c r="K62" s="12"/>
      <c r="L62" s="12"/>
      <c r="M62" s="12"/>
      <c r="N62" s="13"/>
      <c r="O62" s="9" t="s">
        <v>52</v>
      </c>
      <c r="P62" s="10"/>
      <c r="Q62" s="10"/>
      <c r="R62" s="10"/>
      <c r="S62" s="14"/>
      <c r="T62" s="10"/>
      <c r="U62" s="10"/>
      <c r="V62" s="10"/>
      <c r="W62" s="12"/>
      <c r="X62" s="12"/>
      <c r="Y62" s="12"/>
      <c r="Z62" s="12"/>
      <c r="AA62" s="12"/>
      <c r="AB62" s="12"/>
      <c r="AC62" s="12"/>
      <c r="AD62" s="12"/>
      <c r="AE62" s="15"/>
    </row>
    <row r="63" spans="1:31" s="2" customFormat="1" ht="15" customHeight="1">
      <c r="A63" s="16" t="s">
        <v>0</v>
      </c>
      <c r="B63" s="17"/>
      <c r="C63" s="17"/>
      <c r="D63" s="17"/>
      <c r="E63" s="17"/>
      <c r="F63" s="17"/>
      <c r="G63" s="17"/>
      <c r="H63" s="17"/>
      <c r="I63" s="17"/>
      <c r="J63" s="18"/>
      <c r="K63" s="18"/>
      <c r="L63" s="18"/>
      <c r="M63" s="18"/>
      <c r="N63" s="19"/>
      <c r="O63" s="16" t="s">
        <v>0</v>
      </c>
      <c r="P63" s="17"/>
      <c r="Q63" s="17"/>
      <c r="R63" s="17"/>
      <c r="S63" s="17"/>
      <c r="T63" s="17"/>
      <c r="U63" s="17"/>
      <c r="V63" s="17"/>
      <c r="W63" s="18"/>
      <c r="X63" s="18"/>
      <c r="Y63" s="18"/>
      <c r="Z63" s="18"/>
      <c r="AA63" s="18"/>
      <c r="AB63" s="18"/>
      <c r="AC63" s="18"/>
      <c r="AD63" s="18"/>
      <c r="AE63" s="20"/>
    </row>
    <row r="64" spans="1:31" s="3" customFormat="1" ht="12" customHeight="1">
      <c r="A64" s="21" t="s">
        <v>1</v>
      </c>
      <c r="B64" s="23"/>
      <c r="C64" s="23"/>
      <c r="D64" s="23"/>
      <c r="E64" s="23"/>
      <c r="F64" s="23"/>
      <c r="G64" s="23"/>
      <c r="H64" s="23"/>
      <c r="I64" s="23"/>
      <c r="J64" s="24"/>
      <c r="K64" s="24"/>
      <c r="L64" s="24"/>
      <c r="M64" s="24"/>
      <c r="N64" s="25"/>
      <c r="O64" s="21" t="s">
        <v>1</v>
      </c>
      <c r="P64" s="23"/>
      <c r="Q64" s="23"/>
      <c r="R64" s="23"/>
      <c r="S64" s="23"/>
      <c r="T64" s="23"/>
      <c r="U64" s="23"/>
      <c r="V64" s="23"/>
      <c r="W64" s="24"/>
      <c r="X64" s="24"/>
      <c r="Y64" s="24"/>
      <c r="Z64" s="24"/>
      <c r="AA64" s="24"/>
      <c r="AB64" s="24"/>
      <c r="AC64" s="24"/>
      <c r="AD64" s="24"/>
      <c r="AE64" s="26"/>
    </row>
    <row r="65" spans="1:31" s="1" customFormat="1" ht="15" customHeight="1">
      <c r="A65" s="9" t="s">
        <v>81</v>
      </c>
      <c r="B65" s="14"/>
      <c r="C65" s="14"/>
      <c r="D65" s="14"/>
      <c r="E65" s="14"/>
      <c r="F65" s="14"/>
      <c r="G65" s="14"/>
      <c r="H65" s="14"/>
      <c r="I65" s="14"/>
      <c r="J65" s="39"/>
      <c r="K65" s="39"/>
      <c r="L65" s="39"/>
      <c r="M65" s="39"/>
      <c r="N65" s="40"/>
      <c r="O65" s="9" t="s">
        <v>81</v>
      </c>
      <c r="P65" s="10"/>
      <c r="Q65" s="10"/>
      <c r="R65" s="10"/>
      <c r="S65" s="10"/>
      <c r="T65" s="10"/>
      <c r="U65" s="10"/>
      <c r="V65" s="14"/>
      <c r="W65" s="39"/>
      <c r="X65" s="39"/>
      <c r="Y65" s="39"/>
      <c r="Z65" s="39"/>
      <c r="AA65" s="39"/>
      <c r="AB65" s="39"/>
      <c r="AC65" s="39"/>
      <c r="AD65" s="39"/>
      <c r="AE65" s="15"/>
    </row>
    <row r="66" spans="1:31" s="8" customFormat="1" ht="11.25">
      <c r="A66" s="65"/>
      <c r="B66" s="65"/>
      <c r="C66" s="66" t="s">
        <v>2</v>
      </c>
      <c r="D66" s="67"/>
      <c r="E66" s="67"/>
      <c r="F66" s="65"/>
      <c r="G66" s="65"/>
      <c r="H66" s="68" t="s">
        <v>3</v>
      </c>
      <c r="I66" s="65"/>
      <c r="J66" s="65"/>
      <c r="K66" s="65"/>
      <c r="L66" s="65"/>
      <c r="M66" s="65"/>
      <c r="N66" s="32"/>
      <c r="O66" s="68" t="s">
        <v>4</v>
      </c>
      <c r="P66" s="65"/>
      <c r="Q66" s="65"/>
      <c r="R66" s="65"/>
      <c r="S66" s="65"/>
      <c r="T66" s="65"/>
      <c r="U66" s="68" t="s">
        <v>5</v>
      </c>
      <c r="V66" s="65"/>
      <c r="W66" s="65"/>
      <c r="X66" s="65"/>
      <c r="Y66" s="65"/>
      <c r="Z66" s="65"/>
      <c r="AA66" s="65"/>
      <c r="AB66" s="65"/>
      <c r="AC66" s="65"/>
      <c r="AD66" s="65"/>
      <c r="AE66" s="44"/>
    </row>
    <row r="67" spans="1:31" s="8" customFormat="1" ht="11.25">
      <c r="A67" s="35" t="s">
        <v>6</v>
      </c>
      <c r="B67" s="32"/>
      <c r="C67" s="69" t="s">
        <v>7</v>
      </c>
      <c r="D67" s="65"/>
      <c r="E67" s="69" t="s">
        <v>8</v>
      </c>
      <c r="F67" s="32"/>
      <c r="G67" s="32"/>
      <c r="H67" s="69" t="s">
        <v>7</v>
      </c>
      <c r="I67" s="65"/>
      <c r="J67" s="69" t="s">
        <v>8</v>
      </c>
      <c r="K67" s="65"/>
      <c r="L67" s="65"/>
      <c r="M67" s="65"/>
      <c r="N67" s="32"/>
      <c r="O67" s="69" t="s">
        <v>9</v>
      </c>
      <c r="P67" s="65"/>
      <c r="Q67" s="65"/>
      <c r="R67" s="32"/>
      <c r="S67" s="69" t="s">
        <v>9</v>
      </c>
      <c r="T67" s="65"/>
      <c r="U67" s="65"/>
      <c r="V67" s="65"/>
      <c r="W67" s="65"/>
      <c r="X67" s="65"/>
      <c r="Y67" s="65"/>
      <c r="Z67" s="65"/>
      <c r="AA67" s="69" t="s">
        <v>10</v>
      </c>
      <c r="AB67" s="65"/>
      <c r="AC67" s="69" t="s">
        <v>11</v>
      </c>
      <c r="AD67" s="65"/>
      <c r="AE67" s="44"/>
    </row>
    <row r="68" spans="1:31" s="8" customFormat="1" ht="11.25">
      <c r="A68" s="35" t="s">
        <v>12</v>
      </c>
      <c r="B68" s="32"/>
      <c r="C68" s="70" t="s">
        <v>13</v>
      </c>
      <c r="D68" s="32"/>
      <c r="E68" s="70" t="s">
        <v>14</v>
      </c>
      <c r="F68" s="32"/>
      <c r="G68" s="32"/>
      <c r="H68" s="70" t="s">
        <v>13</v>
      </c>
      <c r="I68" s="32"/>
      <c r="J68" s="70" t="s">
        <v>14</v>
      </c>
      <c r="K68" s="32"/>
      <c r="L68" s="70" t="s">
        <v>15</v>
      </c>
      <c r="M68" s="32"/>
      <c r="N68" s="32"/>
      <c r="O68" s="70" t="s">
        <v>13</v>
      </c>
      <c r="P68" s="32"/>
      <c r="Q68" s="70" t="s">
        <v>15</v>
      </c>
      <c r="R68" s="32"/>
      <c r="S68" s="70" t="s">
        <v>13</v>
      </c>
      <c r="T68" s="32"/>
      <c r="U68" s="70" t="s">
        <v>15</v>
      </c>
      <c r="V68" s="32"/>
      <c r="W68" s="70" t="s">
        <v>16</v>
      </c>
      <c r="X68" s="32"/>
      <c r="Y68" s="70" t="s">
        <v>15</v>
      </c>
      <c r="Z68" s="32"/>
      <c r="AA68" s="70" t="s">
        <v>17</v>
      </c>
      <c r="AB68" s="32"/>
      <c r="AC68" s="70" t="s">
        <v>18</v>
      </c>
      <c r="AD68" s="32"/>
      <c r="AE68" s="44"/>
    </row>
    <row r="69" spans="1:31" s="8" customFormat="1" ht="11.45" customHeight="1">
      <c r="A69" s="35" t="s">
        <v>19</v>
      </c>
      <c r="B69" s="32"/>
      <c r="C69" s="70" t="s">
        <v>20</v>
      </c>
      <c r="D69" s="32"/>
      <c r="E69" s="70" t="s">
        <v>21</v>
      </c>
      <c r="F69" s="32"/>
      <c r="G69" s="32"/>
      <c r="H69" s="70" t="s">
        <v>20</v>
      </c>
      <c r="I69" s="32"/>
      <c r="J69" s="70" t="s">
        <v>21</v>
      </c>
      <c r="K69" s="32"/>
      <c r="L69" s="70" t="s">
        <v>22</v>
      </c>
      <c r="M69" s="32"/>
      <c r="N69" s="32"/>
      <c r="O69" s="70" t="s">
        <v>23</v>
      </c>
      <c r="P69" s="32"/>
      <c r="Q69" s="70" t="s">
        <v>22</v>
      </c>
      <c r="R69" s="32"/>
      <c r="S69" s="70" t="s">
        <v>23</v>
      </c>
      <c r="T69" s="32"/>
      <c r="U69" s="71" t="s">
        <v>77</v>
      </c>
      <c r="V69" s="32"/>
      <c r="W69" s="70" t="s">
        <v>24</v>
      </c>
      <c r="X69" s="32"/>
      <c r="Y69" s="70" t="s">
        <v>25</v>
      </c>
      <c r="Z69" s="32"/>
      <c r="AA69" s="70" t="s">
        <v>26</v>
      </c>
      <c r="AB69" s="32"/>
      <c r="AC69" s="73" t="s">
        <v>78</v>
      </c>
      <c r="AD69" s="32"/>
      <c r="AE69" s="44"/>
    </row>
    <row r="70" spans="1:31" ht="0.95" customHeight="1">
      <c r="A70" s="27"/>
      <c r="B70" s="27"/>
      <c r="C70" s="27"/>
      <c r="D70" s="41"/>
      <c r="E70" s="27"/>
      <c r="F70" s="27"/>
      <c r="G70" s="41"/>
      <c r="H70" s="27"/>
      <c r="I70" s="27"/>
      <c r="J70" s="27"/>
      <c r="K70" s="27"/>
      <c r="L70" s="27"/>
      <c r="M70" s="27"/>
      <c r="N70" s="28"/>
      <c r="O70" s="27"/>
      <c r="P70" s="27"/>
      <c r="Q70" s="27"/>
      <c r="R70" s="27"/>
      <c r="S70" s="27"/>
      <c r="T70" s="27"/>
      <c r="U70" s="30"/>
      <c r="V70" s="27"/>
      <c r="W70" s="42"/>
      <c r="X70" s="27"/>
      <c r="Y70" s="27"/>
      <c r="Z70" s="27"/>
      <c r="AA70" s="27"/>
      <c r="AB70" s="27"/>
      <c r="AC70" s="43"/>
      <c r="AD70" s="27"/>
    </row>
    <row r="71" spans="1:31" ht="11.25">
      <c r="A71" s="31" t="s">
        <v>45</v>
      </c>
      <c r="B71" s="32"/>
      <c r="C71" s="32"/>
      <c r="D71" s="36"/>
      <c r="E71" s="32"/>
      <c r="F71" s="32"/>
      <c r="G71" s="36"/>
      <c r="H71" s="32"/>
      <c r="I71" s="32"/>
      <c r="J71" s="32"/>
      <c r="K71" s="32"/>
      <c r="L71" s="32"/>
      <c r="M71" s="32"/>
      <c r="N71" s="32"/>
      <c r="O71" s="32"/>
      <c r="P71" s="32"/>
      <c r="Q71" s="32"/>
      <c r="R71" s="32"/>
      <c r="S71" s="32"/>
      <c r="T71" s="32"/>
      <c r="U71" s="44"/>
      <c r="V71" s="32"/>
      <c r="W71" s="34"/>
      <c r="X71" s="32"/>
      <c r="Y71" s="32"/>
      <c r="Z71" s="32"/>
      <c r="AA71" s="33"/>
      <c r="AB71" s="32"/>
      <c r="AC71" s="33"/>
      <c r="AD71" s="32"/>
    </row>
    <row r="72" spans="1:31" ht="11.25">
      <c r="A72" s="35" t="s">
        <v>28</v>
      </c>
      <c r="B72" s="32"/>
      <c r="C72" s="34">
        <v>6380</v>
      </c>
      <c r="D72" s="36">
        <f t="shared" ref="D72:D90" si="13">C72/G72*1000</f>
        <v>302.15486620885628</v>
      </c>
      <c r="E72" s="34">
        <v>302</v>
      </c>
      <c r="F72" s="32"/>
      <c r="G72" s="36">
        <v>21115</v>
      </c>
      <c r="H72" s="34">
        <v>77198</v>
      </c>
      <c r="I72" s="34"/>
      <c r="J72" s="34">
        <v>3656</v>
      </c>
      <c r="K72" s="34"/>
      <c r="L72" s="33">
        <f>H72/C72</f>
        <v>12.1</v>
      </c>
      <c r="M72" s="32"/>
      <c r="N72" s="34"/>
      <c r="O72" s="37">
        <v>7401</v>
      </c>
      <c r="P72" s="37"/>
      <c r="Q72" s="37">
        <v>1160</v>
      </c>
      <c r="R72" s="37"/>
      <c r="S72" s="37">
        <v>5576</v>
      </c>
      <c r="T72" s="37"/>
      <c r="U72" s="45">
        <v>874</v>
      </c>
      <c r="V72" s="32"/>
      <c r="W72" s="37">
        <f t="shared" ref="W72:W93" si="14">(S72/G72)*1000</f>
        <v>264.07766990291265</v>
      </c>
      <c r="X72" s="37"/>
      <c r="Y72" s="37">
        <f t="shared" ref="Y72:Y91" si="15">S72/H72*1000</f>
        <v>72.22985051426204</v>
      </c>
      <c r="Z72" s="32"/>
      <c r="AA72" s="33">
        <v>75.3</v>
      </c>
      <c r="AB72" s="32"/>
      <c r="AC72" s="33">
        <f>S72/8019*100</f>
        <v>69.534854720039903</v>
      </c>
      <c r="AD72" s="32"/>
    </row>
    <row r="73" spans="1:31" ht="11.25">
      <c r="A73" s="35" t="s">
        <v>29</v>
      </c>
      <c r="B73" s="32"/>
      <c r="C73" s="34">
        <v>6751</v>
      </c>
      <c r="D73" s="36">
        <f t="shared" si="13"/>
        <v>312.96648277780355</v>
      </c>
      <c r="E73" s="34">
        <v>313</v>
      </c>
      <c r="F73" s="32"/>
      <c r="G73" s="36">
        <v>21571</v>
      </c>
      <c r="H73" s="34">
        <v>78987</v>
      </c>
      <c r="I73" s="34"/>
      <c r="J73" s="34">
        <v>3662</v>
      </c>
      <c r="K73" s="34"/>
      <c r="L73" s="33">
        <f>H73/C73</f>
        <v>11.700044437861058</v>
      </c>
      <c r="M73" s="32"/>
      <c r="N73" s="34"/>
      <c r="O73" s="34">
        <v>8227</v>
      </c>
      <c r="P73" s="34"/>
      <c r="Q73" s="34">
        <v>1219</v>
      </c>
      <c r="R73" s="34"/>
      <c r="S73" s="34">
        <v>6245</v>
      </c>
      <c r="T73" s="34"/>
      <c r="U73" s="34">
        <v>925</v>
      </c>
      <c r="V73" s="32"/>
      <c r="W73" s="34">
        <f t="shared" si="14"/>
        <v>289.50906309396873</v>
      </c>
      <c r="X73" s="34"/>
      <c r="Y73" s="34">
        <f t="shared" si="15"/>
        <v>79.063643384354378</v>
      </c>
      <c r="Z73" s="32"/>
      <c r="AA73" s="33">
        <v>75.900000000000006</v>
      </c>
      <c r="AB73" s="32"/>
      <c r="AC73" s="33">
        <f>S73/9039*100</f>
        <v>69.089501051001207</v>
      </c>
      <c r="AD73" s="32"/>
    </row>
    <row r="74" spans="1:31" ht="11.25">
      <c r="A74" s="35" t="s">
        <v>30</v>
      </c>
      <c r="B74" s="32"/>
      <c r="C74" s="34">
        <v>7033</v>
      </c>
      <c r="D74" s="36">
        <f t="shared" si="13"/>
        <v>319.73995271867614</v>
      </c>
      <c r="E74" s="34">
        <v>320</v>
      </c>
      <c r="F74" s="32"/>
      <c r="G74" s="36">
        <v>21996</v>
      </c>
      <c r="H74" s="34">
        <v>80880</v>
      </c>
      <c r="I74" s="34"/>
      <c r="J74" s="34">
        <v>3677</v>
      </c>
      <c r="K74" s="34"/>
      <c r="L74" s="33">
        <f>H74/C74</f>
        <v>11.50007109341675</v>
      </c>
      <c r="M74" s="32"/>
      <c r="N74" s="34"/>
      <c r="O74" s="34">
        <v>9614</v>
      </c>
      <c r="P74" s="34"/>
      <c r="Q74" s="34">
        <v>1367</v>
      </c>
      <c r="R74" s="34"/>
      <c r="S74" s="34">
        <v>7209</v>
      </c>
      <c r="T74" s="34"/>
      <c r="U74" s="34">
        <v>1025</v>
      </c>
      <c r="V74" s="32"/>
      <c r="W74" s="34">
        <f t="shared" si="14"/>
        <v>327.74140752864156</v>
      </c>
      <c r="X74" s="34"/>
      <c r="Y74" s="34">
        <f t="shared" si="15"/>
        <v>89.132047477744806</v>
      </c>
      <c r="Z74" s="32"/>
      <c r="AA74" s="33">
        <v>75</v>
      </c>
      <c r="AB74" s="32"/>
      <c r="AC74" s="33">
        <f>S74/10257*100</f>
        <v>70.283708686750515</v>
      </c>
      <c r="AD74" s="32"/>
    </row>
    <row r="75" spans="1:31" ht="11.25">
      <c r="A75" s="35" t="s">
        <v>31</v>
      </c>
      <c r="B75" s="32"/>
      <c r="C75" s="34">
        <v>7285</v>
      </c>
      <c r="D75" s="36">
        <f t="shared" si="13"/>
        <v>324.18120327518687</v>
      </c>
      <c r="E75" s="34">
        <v>324</v>
      </c>
      <c r="F75" s="32"/>
      <c r="G75" s="36">
        <v>22472</v>
      </c>
      <c r="H75" s="34">
        <v>81592</v>
      </c>
      <c r="I75" s="34"/>
      <c r="J75" s="34">
        <v>3631</v>
      </c>
      <c r="K75" s="34"/>
      <c r="L75" s="33">
        <f>H75/C75</f>
        <v>11.2</v>
      </c>
      <c r="M75" s="32"/>
      <c r="N75" s="34"/>
      <c r="O75" s="34">
        <v>11853</v>
      </c>
      <c r="P75" s="34"/>
      <c r="Q75" s="34">
        <v>1627</v>
      </c>
      <c r="R75" s="34"/>
      <c r="S75" s="34">
        <v>8859</v>
      </c>
      <c r="T75" s="34"/>
      <c r="U75" s="34">
        <v>1216</v>
      </c>
      <c r="V75" s="32"/>
      <c r="W75" s="34">
        <f t="shared" si="14"/>
        <v>394.22392310430757</v>
      </c>
      <c r="X75" s="34"/>
      <c r="Y75" s="34">
        <f t="shared" si="15"/>
        <v>108.57682125698598</v>
      </c>
      <c r="Z75" s="32"/>
      <c r="AA75" s="33">
        <v>74.7</v>
      </c>
      <c r="AB75" s="32"/>
      <c r="AC75" s="33">
        <f>S75/13056*100</f>
        <v>67.853860294117652</v>
      </c>
      <c r="AD75" s="32"/>
    </row>
    <row r="76" spans="1:31" ht="11.25">
      <c r="A76" s="35" t="s">
        <v>32</v>
      </c>
      <c r="B76" s="32"/>
      <c r="C76" s="34">
        <v>7607</v>
      </c>
      <c r="D76" s="36">
        <f t="shared" si="13"/>
        <v>331.89354275741709</v>
      </c>
      <c r="E76" s="34">
        <v>332</v>
      </c>
      <c r="F76" s="32"/>
      <c r="G76" s="36">
        <v>22920</v>
      </c>
      <c r="H76" s="34">
        <v>84438</v>
      </c>
      <c r="I76" s="34"/>
      <c r="J76" s="34">
        <v>3684</v>
      </c>
      <c r="K76" s="34"/>
      <c r="L76" s="33">
        <v>11.1</v>
      </c>
      <c r="M76" s="32"/>
      <c r="N76" s="34"/>
      <c r="O76" s="34">
        <v>14263</v>
      </c>
      <c r="P76" s="34"/>
      <c r="Q76" s="34">
        <v>1875</v>
      </c>
      <c r="R76" s="34"/>
      <c r="S76" s="34">
        <v>10589</v>
      </c>
      <c r="T76" s="34"/>
      <c r="U76" s="34">
        <v>1392</v>
      </c>
      <c r="V76" s="32"/>
      <c r="W76" s="34">
        <f t="shared" si="14"/>
        <v>461.99825479930189</v>
      </c>
      <c r="X76" s="34"/>
      <c r="Y76" s="34">
        <f t="shared" si="15"/>
        <v>125.40562306070727</v>
      </c>
      <c r="Z76" s="32"/>
      <c r="AA76" s="33">
        <v>74.2</v>
      </c>
      <c r="AB76" s="32"/>
      <c r="AC76" s="33">
        <f>S76/15637*100</f>
        <v>67.7175928886615</v>
      </c>
      <c r="AD76" s="32"/>
    </row>
    <row r="77" spans="1:31" ht="11.25">
      <c r="A77" s="35" t="s">
        <v>33</v>
      </c>
      <c r="B77" s="32"/>
      <c r="C77" s="34">
        <v>7850</v>
      </c>
      <c r="D77" s="36">
        <f t="shared" si="13"/>
        <v>334.41254153531571</v>
      </c>
      <c r="E77" s="34">
        <v>334</v>
      </c>
      <c r="F77" s="32"/>
      <c r="G77" s="36">
        <v>23474</v>
      </c>
      <c r="H77" s="34">
        <v>86967</v>
      </c>
      <c r="I77" s="34"/>
      <c r="J77" s="34">
        <v>3705</v>
      </c>
      <c r="K77" s="34"/>
      <c r="L77" s="33">
        <v>11.1</v>
      </c>
      <c r="M77" s="32"/>
      <c r="N77" s="34"/>
      <c r="O77" s="34">
        <v>17072</v>
      </c>
      <c r="P77" s="34"/>
      <c r="Q77" s="34">
        <v>2175</v>
      </c>
      <c r="R77" s="34"/>
      <c r="S77" s="34">
        <v>12455</v>
      </c>
      <c r="T77" s="34"/>
      <c r="U77" s="34">
        <v>1587</v>
      </c>
      <c r="V77" s="32"/>
      <c r="W77" s="34">
        <f t="shared" si="14"/>
        <v>530.58703246144671</v>
      </c>
      <c r="X77" s="34"/>
      <c r="Y77" s="34">
        <f t="shared" si="15"/>
        <v>143.21524256327112</v>
      </c>
      <c r="Z77" s="32"/>
      <c r="AA77" s="33">
        <v>73</v>
      </c>
      <c r="AB77" s="32"/>
      <c r="AC77" s="33">
        <f>S77/18015*100</f>
        <v>69.13683041909519</v>
      </c>
      <c r="AD77" s="32"/>
    </row>
    <row r="78" spans="1:31" ht="11.25">
      <c r="A78" s="35" t="s">
        <v>34</v>
      </c>
      <c r="B78" s="32"/>
      <c r="C78" s="34">
        <v>8133</v>
      </c>
      <c r="D78" s="36">
        <f t="shared" si="13"/>
        <v>339.1010673782522</v>
      </c>
      <c r="E78" s="34">
        <v>339</v>
      </c>
      <c r="F78" s="32"/>
      <c r="G78" s="36">
        <v>23984</v>
      </c>
      <c r="H78" s="34">
        <v>88557</v>
      </c>
      <c r="I78" s="34"/>
      <c r="J78" s="34">
        <v>3692</v>
      </c>
      <c r="K78" s="34"/>
      <c r="L78" s="33">
        <v>10.9</v>
      </c>
      <c r="M78" s="32"/>
      <c r="N78" s="34"/>
      <c r="O78" s="34">
        <v>19772</v>
      </c>
      <c r="P78" s="34"/>
      <c r="Q78" s="34">
        <v>2431</v>
      </c>
      <c r="R78" s="34"/>
      <c r="S78" s="34">
        <v>14182</v>
      </c>
      <c r="T78" s="34"/>
      <c r="U78" s="34">
        <v>1744</v>
      </c>
      <c r="V78" s="32"/>
      <c r="W78" s="34">
        <f t="shared" si="14"/>
        <v>591.31087391594394</v>
      </c>
      <c r="X78" s="34"/>
      <c r="Y78" s="34">
        <f t="shared" si="15"/>
        <v>160.14544304798039</v>
      </c>
      <c r="Z78" s="32"/>
      <c r="AA78" s="33">
        <v>71.7</v>
      </c>
      <c r="AB78" s="32"/>
      <c r="AC78" s="33">
        <f>S78/20579*100</f>
        <v>68.914913261091399</v>
      </c>
      <c r="AD78" s="32"/>
    </row>
    <row r="79" spans="1:31" ht="11.25">
      <c r="A79" s="35" t="s">
        <v>35</v>
      </c>
      <c r="B79" s="32"/>
      <c r="C79" s="34">
        <v>8478</v>
      </c>
      <c r="D79" s="36">
        <f t="shared" si="13"/>
        <v>345.36418445494542</v>
      </c>
      <c r="E79" s="34">
        <v>345</v>
      </c>
      <c r="F79" s="32"/>
      <c r="G79" s="36">
        <v>24548</v>
      </c>
      <c r="H79" s="34">
        <v>91239</v>
      </c>
      <c r="I79" s="34"/>
      <c r="J79" s="34">
        <v>3717</v>
      </c>
      <c r="K79" s="34"/>
      <c r="L79" s="33">
        <v>10.8</v>
      </c>
      <c r="M79" s="32"/>
      <c r="N79" s="34"/>
      <c r="O79" s="34">
        <v>22938</v>
      </c>
      <c r="P79" s="34"/>
      <c r="Q79" s="34">
        <v>2706</v>
      </c>
      <c r="R79" s="34"/>
      <c r="S79" s="34">
        <v>16251</v>
      </c>
      <c r="T79" s="34"/>
      <c r="U79" s="34">
        <v>1917</v>
      </c>
      <c r="V79" s="32"/>
      <c r="W79" s="34">
        <f t="shared" si="14"/>
        <v>662.00912497963168</v>
      </c>
      <c r="X79" s="34"/>
      <c r="Y79" s="34">
        <f t="shared" si="15"/>
        <v>178.11462203662907</v>
      </c>
      <c r="Z79" s="32"/>
      <c r="AA79" s="33">
        <v>70.8</v>
      </c>
      <c r="AB79" s="32"/>
      <c r="AC79" s="33">
        <f>S79/24005*100</f>
        <v>67.69839616746512</v>
      </c>
      <c r="AD79" s="32"/>
    </row>
    <row r="80" spans="1:31" ht="11.25">
      <c r="A80" s="35" t="s">
        <v>36</v>
      </c>
      <c r="B80" s="32"/>
      <c r="C80" s="34">
        <v>9051</v>
      </c>
      <c r="D80" s="36">
        <f t="shared" si="13"/>
        <v>360.54015296367112</v>
      </c>
      <c r="E80" s="34">
        <v>361</v>
      </c>
      <c r="F80" s="32"/>
      <c r="G80" s="36">
        <v>25104</v>
      </c>
      <c r="H80" s="34">
        <v>96772</v>
      </c>
      <c r="I80" s="34"/>
      <c r="J80" s="34">
        <v>3855</v>
      </c>
      <c r="K80" s="34"/>
      <c r="L80" s="33">
        <v>10.7</v>
      </c>
      <c r="M80" s="32"/>
      <c r="N80" s="34"/>
      <c r="O80" s="34">
        <v>28114</v>
      </c>
      <c r="P80" s="34"/>
      <c r="Q80" s="34">
        <v>3106</v>
      </c>
      <c r="R80" s="34"/>
      <c r="S80" s="34">
        <v>19460</v>
      </c>
      <c r="T80" s="34"/>
      <c r="U80" s="34">
        <v>2150</v>
      </c>
      <c r="V80" s="32"/>
      <c r="W80" s="34">
        <f t="shared" si="14"/>
        <v>775.17527087316762</v>
      </c>
      <c r="X80" s="34"/>
      <c r="Y80" s="34">
        <f t="shared" si="15"/>
        <v>201.0912247344273</v>
      </c>
      <c r="Z80" s="32"/>
      <c r="AA80" s="33">
        <v>69.2</v>
      </c>
      <c r="AB80" s="32"/>
      <c r="AC80" s="33">
        <f>S80/29224*100</f>
        <v>66.589104845332599</v>
      </c>
      <c r="AD80" s="32"/>
    </row>
    <row r="81" spans="1:30" ht="11.25">
      <c r="A81" s="35" t="s">
        <v>37</v>
      </c>
      <c r="B81" s="32"/>
      <c r="C81" s="34">
        <v>9400</v>
      </c>
      <c r="D81" s="36">
        <f t="shared" si="13"/>
        <v>367.31663475440587</v>
      </c>
      <c r="E81" s="34">
        <v>367</v>
      </c>
      <c r="F81" s="32"/>
      <c r="G81" s="36">
        <v>25591</v>
      </c>
      <c r="H81" s="34">
        <v>98223</v>
      </c>
      <c r="I81" s="34"/>
      <c r="J81" s="34">
        <v>3838</v>
      </c>
      <c r="K81" s="34"/>
      <c r="L81" s="33">
        <v>10.4</v>
      </c>
      <c r="M81" s="32"/>
      <c r="N81" s="34"/>
      <c r="O81" s="34">
        <v>33564</v>
      </c>
      <c r="P81" s="34"/>
      <c r="Q81" s="34">
        <v>3571</v>
      </c>
      <c r="R81" s="34"/>
      <c r="S81" s="34">
        <v>22814</v>
      </c>
      <c r="T81" s="34"/>
      <c r="U81" s="34">
        <v>2427</v>
      </c>
      <c r="V81" s="32"/>
      <c r="W81" s="34">
        <f t="shared" si="14"/>
        <v>891.48528779649098</v>
      </c>
      <c r="X81" s="34"/>
      <c r="Y81" s="34">
        <f t="shared" si="15"/>
        <v>232.26739154780449</v>
      </c>
      <c r="Z81" s="32"/>
      <c r="AA81" s="33">
        <v>68</v>
      </c>
      <c r="AB81" s="32"/>
      <c r="AC81" s="33">
        <f>S81/36614*100</f>
        <v>62.309499098705409</v>
      </c>
      <c r="AD81" s="32"/>
    </row>
    <row r="82" spans="1:30" ht="11.25">
      <c r="A82" s="35" t="s">
        <v>38</v>
      </c>
      <c r="B82" s="32"/>
      <c r="C82" s="34">
        <v>9817</v>
      </c>
      <c r="D82" s="36">
        <f t="shared" si="13"/>
        <v>375.91422554087688</v>
      </c>
      <c r="E82" s="34">
        <v>376</v>
      </c>
      <c r="F82" s="32"/>
      <c r="G82" s="36">
        <v>26115</v>
      </c>
      <c r="H82" s="34">
        <v>100431</v>
      </c>
      <c r="I82" s="34"/>
      <c r="J82" s="34">
        <v>3846</v>
      </c>
      <c r="K82" s="34"/>
      <c r="L82" s="33">
        <v>10.199999999999999</v>
      </c>
      <c r="M82" s="32"/>
      <c r="N82" s="34"/>
      <c r="O82" s="34">
        <v>40875</v>
      </c>
      <c r="P82" s="34"/>
      <c r="Q82" s="34">
        <v>4164</v>
      </c>
      <c r="R82" s="34"/>
      <c r="S82" s="34">
        <v>27008</v>
      </c>
      <c r="T82" s="34"/>
      <c r="U82" s="34">
        <v>2751</v>
      </c>
      <c r="V82" s="32"/>
      <c r="W82" s="34">
        <f t="shared" si="14"/>
        <v>1034.1949071414895</v>
      </c>
      <c r="X82" s="34"/>
      <c r="Y82" s="34">
        <f t="shared" si="15"/>
        <v>268.92095070247234</v>
      </c>
      <c r="Z82" s="32"/>
      <c r="AA82" s="33">
        <v>66.099999999999994</v>
      </c>
      <c r="AB82" s="32"/>
      <c r="AC82" s="33">
        <f>S82/41787*100</f>
        <v>64.632541220953883</v>
      </c>
      <c r="AD82" s="32"/>
    </row>
    <row r="83" spans="1:30" ht="11.25">
      <c r="A83" s="35" t="s">
        <v>39</v>
      </c>
      <c r="B83" s="32"/>
      <c r="C83" s="34">
        <v>10152</v>
      </c>
      <c r="D83" s="36">
        <f t="shared" si="13"/>
        <v>380.65241844769406</v>
      </c>
      <c r="E83" s="34">
        <v>381</v>
      </c>
      <c r="F83" s="32"/>
      <c r="G83" s="36">
        <v>26670</v>
      </c>
      <c r="H83" s="34">
        <v>99740</v>
      </c>
      <c r="I83" s="34"/>
      <c r="J83" s="34">
        <v>3740</v>
      </c>
      <c r="K83" s="34"/>
      <c r="L83" s="33">
        <v>9.8000000000000007</v>
      </c>
      <c r="M83" s="32"/>
      <c r="N83" s="34"/>
      <c r="O83" s="34">
        <v>47851</v>
      </c>
      <c r="P83" s="34"/>
      <c r="Q83" s="34">
        <v>4713</v>
      </c>
      <c r="R83" s="34"/>
      <c r="S83" s="34">
        <v>30398</v>
      </c>
      <c r="T83" s="34"/>
      <c r="U83" s="34">
        <v>2994</v>
      </c>
      <c r="V83" s="32"/>
      <c r="W83" s="34">
        <f t="shared" si="14"/>
        <v>1139.782527184102</v>
      </c>
      <c r="X83" s="34"/>
      <c r="Y83" s="34">
        <f t="shared" si="15"/>
        <v>304.77240826147982</v>
      </c>
      <c r="Z83" s="32"/>
      <c r="AA83" s="33">
        <v>63.5</v>
      </c>
      <c r="AB83" s="32"/>
      <c r="AC83" s="33">
        <f>S83/46727*100</f>
        <v>65.054465298435588</v>
      </c>
      <c r="AD83" s="32"/>
    </row>
    <row r="84" spans="1:30" ht="11.25">
      <c r="A84" s="35" t="s">
        <v>40</v>
      </c>
      <c r="B84" s="32"/>
      <c r="C84" s="34">
        <v>9705</v>
      </c>
      <c r="D84" s="36">
        <f t="shared" si="13"/>
        <v>357.95957509589846</v>
      </c>
      <c r="E84" s="34">
        <v>358</v>
      </c>
      <c r="F84" s="32"/>
      <c r="G84" s="36">
        <v>27112</v>
      </c>
      <c r="H84" s="34">
        <v>86062</v>
      </c>
      <c r="I84" s="34"/>
      <c r="J84" s="34">
        <v>3174</v>
      </c>
      <c r="K84" s="34"/>
      <c r="L84" s="33">
        <v>8.9</v>
      </c>
      <c r="M84" s="32"/>
      <c r="N84" s="34"/>
      <c r="O84" s="34">
        <v>46964</v>
      </c>
      <c r="P84" s="34"/>
      <c r="Q84" s="34">
        <v>4839</v>
      </c>
      <c r="R84" s="34"/>
      <c r="S84" s="34">
        <v>34188</v>
      </c>
      <c r="T84" s="34"/>
      <c r="U84" s="34">
        <v>3523</v>
      </c>
      <c r="V84" s="32"/>
      <c r="W84" s="34">
        <f t="shared" si="14"/>
        <v>1260.9914429035114</v>
      </c>
      <c r="X84" s="34"/>
      <c r="Y84" s="34">
        <f t="shared" si="15"/>
        <v>397.24849527085127</v>
      </c>
      <c r="Z84" s="32"/>
      <c r="AA84" s="33">
        <v>72.8</v>
      </c>
      <c r="AB84" s="32"/>
      <c r="AC84" s="33">
        <f>S84/52118*100</f>
        <v>65.597298438159555</v>
      </c>
      <c r="AD84" s="32"/>
    </row>
    <row r="85" spans="1:30" ht="11.25">
      <c r="A85" s="35" t="s">
        <v>41</v>
      </c>
      <c r="B85" s="32"/>
      <c r="C85" s="34">
        <v>8918</v>
      </c>
      <c r="D85" s="36">
        <f t="shared" si="13"/>
        <v>322.14716613083846</v>
      </c>
      <c r="E85" s="34">
        <v>322</v>
      </c>
      <c r="F85" s="32"/>
      <c r="G85" s="36">
        <v>27683</v>
      </c>
      <c r="H85" s="34">
        <v>76926</v>
      </c>
      <c r="I85" s="36">
        <f>H85/G85*1000</f>
        <v>2778.8173247119171</v>
      </c>
      <c r="J85" s="34">
        <v>2779</v>
      </c>
      <c r="K85" s="34"/>
      <c r="L85" s="33">
        <v>8.6</v>
      </c>
      <c r="M85" s="32"/>
      <c r="N85" s="34"/>
      <c r="O85" s="34">
        <v>47371</v>
      </c>
      <c r="P85" s="34"/>
      <c r="Q85" s="34">
        <v>5312</v>
      </c>
      <c r="R85" s="34"/>
      <c r="S85" s="34">
        <v>35738</v>
      </c>
      <c r="T85" s="34"/>
      <c r="U85" s="34">
        <v>4007</v>
      </c>
      <c r="V85" s="32"/>
      <c r="W85" s="34">
        <f t="shared" si="14"/>
        <v>1290.9727991908392</v>
      </c>
      <c r="X85" s="34"/>
      <c r="Y85" s="34">
        <f t="shared" si="15"/>
        <v>464.57634609884826</v>
      </c>
      <c r="Z85" s="32"/>
      <c r="AA85" s="33">
        <v>75.400000000000006</v>
      </c>
      <c r="AB85" s="32"/>
      <c r="AC85" s="33">
        <f>S85/56428*100</f>
        <v>63.333805911958606</v>
      </c>
      <c r="AD85" s="32"/>
    </row>
    <row r="86" spans="1:30" ht="11.25">
      <c r="A86" s="35" t="s">
        <v>42</v>
      </c>
      <c r="B86" s="32"/>
      <c r="C86" s="34">
        <v>8917</v>
      </c>
      <c r="D86" s="36">
        <f t="shared" si="13"/>
        <v>315.56782390204199</v>
      </c>
      <c r="E86" s="34">
        <v>316</v>
      </c>
      <c r="F86" s="32"/>
      <c r="G86" s="36">
        <v>28257</v>
      </c>
      <c r="H86" s="34">
        <v>77240</v>
      </c>
      <c r="I86" s="34"/>
      <c r="J86" s="34">
        <v>2733</v>
      </c>
      <c r="K86" s="34"/>
      <c r="L86" s="33">
        <v>8.6999999999999993</v>
      </c>
      <c r="M86" s="32"/>
      <c r="N86" s="34"/>
      <c r="O86" s="34">
        <v>52623</v>
      </c>
      <c r="P86" s="34"/>
      <c r="Q86" s="34">
        <v>5901</v>
      </c>
      <c r="R86" s="34"/>
      <c r="S86" s="34">
        <v>37030</v>
      </c>
      <c r="T86" s="34"/>
      <c r="U86" s="34">
        <v>4153</v>
      </c>
      <c r="V86" s="32"/>
      <c r="W86" s="34">
        <f t="shared" si="14"/>
        <v>1310.4717415153768</v>
      </c>
      <c r="X86" s="34"/>
      <c r="Y86" s="34">
        <f t="shared" si="15"/>
        <v>479.41481097876749</v>
      </c>
      <c r="Z86" s="32"/>
      <c r="AA86" s="33">
        <v>70.400000000000006</v>
      </c>
      <c r="AB86" s="32"/>
      <c r="AC86" s="33">
        <f>S86/60810*100</f>
        <v>60.89458970564052</v>
      </c>
      <c r="AD86" s="32"/>
    </row>
    <row r="87" spans="1:30" ht="11.25">
      <c r="A87" s="35" t="s">
        <v>43</v>
      </c>
      <c r="B87" s="32"/>
      <c r="C87" s="34">
        <v>9000</v>
      </c>
      <c r="D87" s="36">
        <f t="shared" si="13"/>
        <v>312.26146693498026</v>
      </c>
      <c r="E87" s="34">
        <v>312</v>
      </c>
      <c r="F87" s="32"/>
      <c r="G87" s="36">
        <v>28822</v>
      </c>
      <c r="H87" s="34">
        <v>79804</v>
      </c>
      <c r="I87" s="34"/>
      <c r="J87" s="34">
        <v>2769</v>
      </c>
      <c r="K87" s="34"/>
      <c r="L87" s="33">
        <v>8.9</v>
      </c>
      <c r="M87" s="32"/>
      <c r="N87" s="34"/>
      <c r="O87" s="34">
        <v>60900</v>
      </c>
      <c r="P87" s="34"/>
      <c r="Q87" s="34">
        <v>6766</v>
      </c>
      <c r="R87" s="34"/>
      <c r="S87" s="34">
        <v>39350</v>
      </c>
      <c r="T87" s="34"/>
      <c r="U87" s="34">
        <v>4372</v>
      </c>
      <c r="V87" s="32"/>
      <c r="W87" s="34">
        <f t="shared" si="14"/>
        <v>1365.2765248768301</v>
      </c>
      <c r="X87" s="34"/>
      <c r="Y87" s="34">
        <f t="shared" si="15"/>
        <v>493.08305348102857</v>
      </c>
      <c r="Z87" s="32"/>
      <c r="AA87" s="33">
        <v>64.599999999999994</v>
      </c>
      <c r="AB87" s="32"/>
      <c r="AC87" s="33">
        <f>S87/67098*100</f>
        <v>58.645563206056813</v>
      </c>
      <c r="AD87" s="32"/>
    </row>
    <row r="88" spans="1:30" ht="11.25">
      <c r="A88" s="35" t="s">
        <v>46</v>
      </c>
      <c r="B88" s="32"/>
      <c r="C88" s="34">
        <v>9146</v>
      </c>
      <c r="D88" s="36">
        <f t="shared" si="13"/>
        <v>312.02237991266372</v>
      </c>
      <c r="E88" s="34">
        <v>312</v>
      </c>
      <c r="F88" s="32"/>
      <c r="G88" s="36">
        <v>29312</v>
      </c>
      <c r="H88" s="34">
        <v>80938</v>
      </c>
      <c r="I88" s="34"/>
      <c r="J88" s="34">
        <v>2761</v>
      </c>
      <c r="K88" s="34"/>
      <c r="L88" s="33">
        <v>8.8000000000000007</v>
      </c>
      <c r="M88" s="32"/>
      <c r="N88" s="34"/>
      <c r="O88" s="34">
        <v>69920</v>
      </c>
      <c r="P88" s="34"/>
      <c r="Q88" s="34">
        <v>7645</v>
      </c>
      <c r="R88" s="34"/>
      <c r="S88" s="34">
        <v>41918</v>
      </c>
      <c r="T88" s="34"/>
      <c r="U88" s="34">
        <v>4583</v>
      </c>
      <c r="V88" s="32"/>
      <c r="W88" s="34">
        <f t="shared" si="14"/>
        <v>1430.0627729257642</v>
      </c>
      <c r="X88" s="34"/>
      <c r="Y88" s="34">
        <f t="shared" si="15"/>
        <v>517.90259210753914</v>
      </c>
      <c r="Z88" s="32"/>
      <c r="AA88" s="33">
        <v>60</v>
      </c>
      <c r="AB88" s="32"/>
      <c r="AC88" s="33">
        <f>S88/72187*100</f>
        <v>58.068627315167554</v>
      </c>
      <c r="AD88" s="32"/>
    </row>
    <row r="89" spans="1:30" ht="10.5" customHeight="1">
      <c r="A89" s="35" t="s">
        <v>53</v>
      </c>
      <c r="B89" s="32"/>
      <c r="C89" s="34">
        <v>9026</v>
      </c>
      <c r="D89" s="36">
        <f t="shared" si="13"/>
        <v>302.18621313067064</v>
      </c>
      <c r="E89" s="34">
        <v>302</v>
      </c>
      <c r="F89" s="32"/>
      <c r="G89" s="36">
        <v>29869</v>
      </c>
      <c r="H89" s="34">
        <v>79784</v>
      </c>
      <c r="I89" s="34"/>
      <c r="J89" s="34">
        <v>2671</v>
      </c>
      <c r="K89" s="34"/>
      <c r="L89" s="33">
        <v>8.8000000000000007</v>
      </c>
      <c r="M89" s="32"/>
      <c r="N89" s="34"/>
      <c r="O89" s="34">
        <v>78204</v>
      </c>
      <c r="P89" s="34"/>
      <c r="Q89" s="34">
        <v>8665</v>
      </c>
      <c r="R89" s="34"/>
      <c r="S89" s="34">
        <v>43747</v>
      </c>
      <c r="T89" s="34"/>
      <c r="U89" s="34">
        <v>4847</v>
      </c>
      <c r="V89" s="32"/>
      <c r="W89" s="34">
        <f t="shared" si="14"/>
        <v>1464.6288794402221</v>
      </c>
      <c r="X89" s="34"/>
      <c r="Y89" s="34">
        <f t="shared" si="15"/>
        <v>548.31795848791739</v>
      </c>
      <c r="Z89" s="32"/>
      <c r="AA89" s="33">
        <v>55.9</v>
      </c>
      <c r="AB89" s="32"/>
      <c r="AC89" s="33">
        <f>S89/82757*100</f>
        <v>52.861993547373629</v>
      </c>
      <c r="AD89" s="32"/>
    </row>
    <row r="90" spans="1:30" ht="10.9" customHeight="1">
      <c r="A90" s="35">
        <v>1990</v>
      </c>
      <c r="B90" s="32"/>
      <c r="C90" s="34">
        <v>9351</v>
      </c>
      <c r="D90" s="36">
        <f t="shared" si="13"/>
        <v>306.80140424554617</v>
      </c>
      <c r="E90" s="34">
        <v>307</v>
      </c>
      <c r="F90" s="32"/>
      <c r="G90" s="36">
        <v>30479</v>
      </c>
      <c r="H90" s="34">
        <v>82179</v>
      </c>
      <c r="I90" s="34"/>
      <c r="J90" s="34">
        <v>2696</v>
      </c>
      <c r="K90" s="34"/>
      <c r="L90" s="33">
        <f t="shared" ref="L90:L97" si="16">H90/C90</f>
        <v>8.7882579403272381</v>
      </c>
      <c r="M90" s="32"/>
      <c r="N90" s="34"/>
      <c r="O90" s="34">
        <v>90948</v>
      </c>
      <c r="P90" s="34"/>
      <c r="Q90" s="34">
        <v>9726</v>
      </c>
      <c r="R90" s="34"/>
      <c r="S90" s="34">
        <v>47842</v>
      </c>
      <c r="T90" s="34"/>
      <c r="U90" s="34">
        <v>5270</v>
      </c>
      <c r="V90" s="32"/>
      <c r="W90" s="34">
        <f t="shared" si="14"/>
        <v>1569.6709209619739</v>
      </c>
      <c r="X90" s="34"/>
      <c r="Y90" s="34">
        <f t="shared" si="15"/>
        <v>582.16819382080575</v>
      </c>
      <c r="Z90" s="32"/>
      <c r="AA90" s="33">
        <f t="shared" ref="AA90:AA100" si="17">S90/O90*100</f>
        <v>52.603685622553542</v>
      </c>
      <c r="AB90" s="32"/>
      <c r="AC90" s="33">
        <f>S90/89620*100</f>
        <v>53.383173398794916</v>
      </c>
      <c r="AD90" s="32"/>
    </row>
    <row r="91" spans="1:30" ht="10.5" customHeight="1">
      <c r="A91" s="35" t="s">
        <v>54</v>
      </c>
      <c r="B91" s="32"/>
      <c r="C91" s="34">
        <v>9510</v>
      </c>
      <c r="D91" s="36"/>
      <c r="E91" s="34">
        <v>306</v>
      </c>
      <c r="F91" s="32"/>
      <c r="G91" s="36">
        <v>31043</v>
      </c>
      <c r="H91" s="34">
        <v>81994</v>
      </c>
      <c r="I91" s="34"/>
      <c r="J91" s="34">
        <v>2641</v>
      </c>
      <c r="K91" s="34"/>
      <c r="L91" s="33">
        <f t="shared" si="16"/>
        <v>8.6218717139852785</v>
      </c>
      <c r="M91" s="32"/>
      <c r="N91" s="34"/>
      <c r="O91" s="34">
        <v>103871</v>
      </c>
      <c r="P91" s="34"/>
      <c r="Q91" s="34">
        <v>10922</v>
      </c>
      <c r="R91" s="34"/>
      <c r="S91" s="34">
        <v>52278</v>
      </c>
      <c r="T91" s="36"/>
      <c r="U91" s="34">
        <v>5601</v>
      </c>
      <c r="V91" s="32"/>
      <c r="W91" s="34">
        <f t="shared" si="14"/>
        <v>1684.0511548497245</v>
      </c>
      <c r="X91" s="34"/>
      <c r="Y91" s="34">
        <f t="shared" si="15"/>
        <v>637.58323779788759</v>
      </c>
      <c r="Z91" s="34"/>
      <c r="AA91" s="33">
        <f t="shared" si="17"/>
        <v>50.329735922442268</v>
      </c>
      <c r="AB91" s="32"/>
      <c r="AC91" s="33">
        <f>S91/98059*100</f>
        <v>53.31280147666201</v>
      </c>
      <c r="AD91" s="32"/>
    </row>
    <row r="92" spans="1:30" ht="10.5" customHeight="1">
      <c r="A92" s="35" t="s">
        <v>55</v>
      </c>
      <c r="B92" s="32"/>
      <c r="C92" s="34">
        <v>9663</v>
      </c>
      <c r="D92" s="34"/>
      <c r="E92" s="34">
        <v>306</v>
      </c>
      <c r="F92" s="32"/>
      <c r="G92" s="36">
        <v>31581</v>
      </c>
      <c r="H92" s="34">
        <v>80818</v>
      </c>
      <c r="I92" s="34"/>
      <c r="J92" s="34">
        <v>2559</v>
      </c>
      <c r="K92" s="34"/>
      <c r="L92" s="33">
        <f t="shared" si="16"/>
        <v>8.3636551795508645</v>
      </c>
      <c r="M92" s="32"/>
      <c r="N92" s="34"/>
      <c r="O92" s="34">
        <v>115789</v>
      </c>
      <c r="P92" s="34"/>
      <c r="Q92" s="34">
        <v>11982</v>
      </c>
      <c r="R92" s="34"/>
      <c r="S92" s="34">
        <v>57494</v>
      </c>
      <c r="T92" s="34"/>
      <c r="U92" s="34">
        <v>6058</v>
      </c>
      <c r="V92" s="32"/>
      <c r="W92" s="34">
        <f t="shared" si="14"/>
        <v>1820.5249992083848</v>
      </c>
      <c r="X92" s="34"/>
      <c r="Y92" s="34">
        <v>704</v>
      </c>
      <c r="Z92" s="34"/>
      <c r="AA92" s="33">
        <f t="shared" si="17"/>
        <v>49.65411222136818</v>
      </c>
      <c r="AB92" s="32"/>
      <c r="AC92" s="33">
        <f>S92/106241*100</f>
        <v>54.116583992997057</v>
      </c>
      <c r="AD92" s="32"/>
    </row>
    <row r="93" spans="1:30" ht="11.25" customHeight="1">
      <c r="A93" s="35" t="s">
        <v>56</v>
      </c>
      <c r="B93" s="32"/>
      <c r="C93" s="34">
        <v>9628</v>
      </c>
      <c r="D93" s="34"/>
      <c r="E93" s="34">
        <v>300</v>
      </c>
      <c r="F93" s="34"/>
      <c r="G93" s="36">
        <v>32063</v>
      </c>
      <c r="H93" s="34">
        <v>76719</v>
      </c>
      <c r="I93" s="34"/>
      <c r="J93" s="34">
        <v>2393</v>
      </c>
      <c r="K93" s="34"/>
      <c r="L93" s="33">
        <f t="shared" si="16"/>
        <v>7.9683215621105106</v>
      </c>
      <c r="M93" s="34"/>
      <c r="N93" s="34"/>
      <c r="O93" s="34">
        <v>122083</v>
      </c>
      <c r="P93" s="34"/>
      <c r="Q93" s="34">
        <v>12681</v>
      </c>
      <c r="R93" s="34"/>
      <c r="S93" s="34">
        <v>59281</v>
      </c>
      <c r="T93" s="34"/>
      <c r="U93" s="34">
        <v>6253</v>
      </c>
      <c r="V93" s="34"/>
      <c r="W93" s="34">
        <f t="shared" si="14"/>
        <v>1848.8912453606961</v>
      </c>
      <c r="X93" s="34"/>
      <c r="Y93" s="34">
        <v>764</v>
      </c>
      <c r="Z93" s="34"/>
      <c r="AA93" s="33">
        <f t="shared" si="17"/>
        <v>48.557948281087462</v>
      </c>
      <c r="AB93" s="32"/>
      <c r="AC93" s="33">
        <f>S93/113492*100</f>
        <v>52.233637613223834</v>
      </c>
      <c r="AD93" s="34"/>
    </row>
    <row r="94" spans="1:30" ht="11.25" customHeight="1">
      <c r="A94" s="35" t="s">
        <v>70</v>
      </c>
      <c r="B94" s="32"/>
      <c r="C94" s="34">
        <v>9802</v>
      </c>
      <c r="D94" s="34"/>
      <c r="E94" s="34">
        <v>331</v>
      </c>
      <c r="F94" s="34"/>
      <c r="G94" s="34"/>
      <c r="H94" s="34">
        <v>73278</v>
      </c>
      <c r="I94" s="34"/>
      <c r="J94" s="34">
        <v>2471</v>
      </c>
      <c r="K94" s="34"/>
      <c r="L94" s="33">
        <f t="shared" si="16"/>
        <v>7.4758212609671499</v>
      </c>
      <c r="M94" s="34"/>
      <c r="N94" s="34"/>
      <c r="O94" s="34">
        <v>126880</v>
      </c>
      <c r="P94" s="34"/>
      <c r="Q94" s="34">
        <v>12944</v>
      </c>
      <c r="R94" s="34"/>
      <c r="S94" s="34">
        <v>61691</v>
      </c>
      <c r="T94" s="34"/>
      <c r="U94" s="34">
        <v>6375</v>
      </c>
      <c r="V94" s="34"/>
      <c r="W94" s="34">
        <f>(S94/29652)*1000</f>
        <v>2080.5004721435316</v>
      </c>
      <c r="X94" s="34"/>
      <c r="Y94" s="34">
        <v>831</v>
      </c>
      <c r="Z94" s="34"/>
      <c r="AA94" s="33">
        <f t="shared" si="17"/>
        <v>48.621532156368225</v>
      </c>
      <c r="AB94" s="32"/>
      <c r="AC94" s="33">
        <f>S94/127714*100</f>
        <v>48.304023051505709</v>
      </c>
      <c r="AD94" s="34"/>
    </row>
    <row r="95" spans="1:30" ht="10.5" customHeight="1">
      <c r="A95" s="35" t="s">
        <v>71</v>
      </c>
      <c r="B95" s="32"/>
      <c r="C95" s="34">
        <v>9879</v>
      </c>
      <c r="D95" s="34"/>
      <c r="E95" s="34">
        <v>336</v>
      </c>
      <c r="F95" s="34"/>
      <c r="G95" s="34"/>
      <c r="H95" s="34">
        <v>68842</v>
      </c>
      <c r="I95" s="34"/>
      <c r="J95" s="34">
        <v>2340</v>
      </c>
      <c r="K95" s="34"/>
      <c r="L95" s="33">
        <f t="shared" si="16"/>
        <v>6.9685190808786315</v>
      </c>
      <c r="M95" s="34"/>
      <c r="N95" s="34"/>
      <c r="O95" s="34">
        <v>129319</v>
      </c>
      <c r="P95" s="34"/>
      <c r="Q95" s="34">
        <v>13091</v>
      </c>
      <c r="R95" s="34"/>
      <c r="S95" s="34">
        <v>64987</v>
      </c>
      <c r="T95" s="34"/>
      <c r="U95" s="34">
        <v>6656</v>
      </c>
      <c r="V95" s="34"/>
      <c r="W95" s="34">
        <f>(S95/29423)*1000</f>
        <v>2208.7142711484212</v>
      </c>
      <c r="X95" s="34"/>
      <c r="Y95" s="34">
        <v>928</v>
      </c>
      <c r="Z95" s="34"/>
      <c r="AA95" s="33">
        <f t="shared" si="17"/>
        <v>50.253249715819024</v>
      </c>
      <c r="AB95" s="32"/>
      <c r="AC95" s="33">
        <f>S95/137952*100</f>
        <v>47.10841452099281</v>
      </c>
      <c r="AD95" s="34"/>
    </row>
    <row r="96" spans="1:30" ht="10.5" customHeight="1">
      <c r="A96" s="35" t="s">
        <v>72</v>
      </c>
      <c r="B96" s="32"/>
      <c r="C96" s="34">
        <v>9853</v>
      </c>
      <c r="D96" s="34"/>
      <c r="E96" s="34">
        <v>341</v>
      </c>
      <c r="F96" s="34"/>
      <c r="G96" s="32"/>
      <c r="H96" s="34">
        <v>64610</v>
      </c>
      <c r="I96" s="34"/>
      <c r="J96" s="34">
        <v>2237</v>
      </c>
      <c r="K96" s="34"/>
      <c r="L96" s="33">
        <f t="shared" si="16"/>
        <v>6.5573936872018672</v>
      </c>
      <c r="M96" s="34"/>
      <c r="N96" s="34"/>
      <c r="O96" s="34">
        <v>131673</v>
      </c>
      <c r="P96" s="34"/>
      <c r="Q96" s="34">
        <v>13364</v>
      </c>
      <c r="R96" s="34"/>
      <c r="S96" s="34">
        <v>67860</v>
      </c>
      <c r="T96" s="34"/>
      <c r="U96" s="34">
        <v>6961</v>
      </c>
      <c r="V96" s="34"/>
      <c r="W96" s="34">
        <f>(S96/28888)*1000</f>
        <v>2349.0722791470507</v>
      </c>
      <c r="X96" s="34"/>
      <c r="Y96" s="34">
        <f t="shared" ref="Y96:Y101" si="18">S96/H96*1000</f>
        <v>1050.3018108651911</v>
      </c>
      <c r="Z96" s="34"/>
      <c r="AA96" s="33">
        <f t="shared" si="17"/>
        <v>51.536761522863458</v>
      </c>
      <c r="AB96" s="32"/>
      <c r="AC96" s="33">
        <f>S96/144485*100</f>
        <v>46.966813163996264</v>
      </c>
      <c r="AD96" s="34"/>
    </row>
    <row r="97" spans="1:30" ht="10.5" customHeight="1">
      <c r="A97" s="35" t="s">
        <v>60</v>
      </c>
      <c r="B97" s="32"/>
      <c r="C97" s="34">
        <v>9873</v>
      </c>
      <c r="D97" s="34"/>
      <c r="E97" s="34">
        <v>351</v>
      </c>
      <c r="F97" s="34"/>
      <c r="G97" s="32"/>
      <c r="H97" s="34">
        <v>62184</v>
      </c>
      <c r="I97" s="34"/>
      <c r="J97" s="34">
        <v>2212</v>
      </c>
      <c r="K97" s="34"/>
      <c r="L97" s="33">
        <f t="shared" si="16"/>
        <v>6.2983895472500757</v>
      </c>
      <c r="M97" s="34"/>
      <c r="N97" s="34"/>
      <c r="O97" s="34">
        <v>136777</v>
      </c>
      <c r="P97" s="34"/>
      <c r="Q97" s="34">
        <v>13854</v>
      </c>
      <c r="R97" s="34"/>
      <c r="S97" s="34">
        <v>69547</v>
      </c>
      <c r="T97" s="34"/>
      <c r="U97" s="34">
        <v>7124</v>
      </c>
      <c r="V97" s="34"/>
      <c r="W97" s="34">
        <f>(S97/28117)*1000</f>
        <v>2473.4857915140306</v>
      </c>
      <c r="X97" s="34"/>
      <c r="Y97" s="34">
        <f t="shared" si="18"/>
        <v>1118.4066640936576</v>
      </c>
      <c r="Z97" s="34"/>
      <c r="AA97" s="33">
        <f t="shared" si="17"/>
        <v>50.846999129970683</v>
      </c>
      <c r="AB97" s="34"/>
      <c r="AC97" s="33">
        <f>S97/149735*100</f>
        <v>46.446722543159581</v>
      </c>
      <c r="AD97" s="34"/>
    </row>
    <row r="98" spans="1:30" ht="10.5" customHeight="1">
      <c r="A98" s="35" t="s">
        <v>61</v>
      </c>
      <c r="B98" s="32"/>
      <c r="C98" s="34">
        <v>9683</v>
      </c>
      <c r="D98" s="34"/>
      <c r="E98" s="34">
        <v>354</v>
      </c>
      <c r="F98" s="34"/>
      <c r="G98" s="32"/>
      <c r="H98" s="34">
        <v>59286</v>
      </c>
      <c r="I98" s="34"/>
      <c r="J98" s="34">
        <v>2169</v>
      </c>
      <c r="K98" s="34"/>
      <c r="L98" s="33">
        <f t="shared" ref="L98:L103" si="19">H98/C98</f>
        <v>6.1226892491996283</v>
      </c>
      <c r="M98" s="34"/>
      <c r="N98" s="34"/>
      <c r="O98" s="34">
        <v>139738</v>
      </c>
      <c r="P98" s="34"/>
      <c r="Q98" s="34">
        <v>14432</v>
      </c>
      <c r="R98" s="34"/>
      <c r="S98" s="34">
        <v>67204</v>
      </c>
      <c r="T98" s="34"/>
      <c r="U98" s="34">
        <v>7022</v>
      </c>
      <c r="V98" s="34"/>
      <c r="W98" s="34">
        <f>(S98/27339)*1000</f>
        <v>2458.1733055342183</v>
      </c>
      <c r="X98" s="34"/>
      <c r="Y98" s="34">
        <f t="shared" si="18"/>
        <v>1133.5559828627333</v>
      </c>
      <c r="Z98" s="34"/>
      <c r="AA98" s="33">
        <f t="shared" si="17"/>
        <v>48.092859494196283</v>
      </c>
      <c r="AB98" s="34"/>
      <c r="AC98" s="33">
        <f>S98/144418*100</f>
        <v>46.534365522303311</v>
      </c>
      <c r="AD98" s="34"/>
    </row>
    <row r="99" spans="1:30" ht="10.5" customHeight="1">
      <c r="A99" s="35" t="s">
        <v>62</v>
      </c>
      <c r="B99" s="32"/>
      <c r="C99" s="34">
        <v>9873</v>
      </c>
      <c r="D99" s="34"/>
      <c r="E99" s="34">
        <v>365</v>
      </c>
      <c r="F99" s="34"/>
      <c r="G99" s="32"/>
      <c r="H99" s="34">
        <v>59577</v>
      </c>
      <c r="I99" s="34"/>
      <c r="J99" s="34">
        <v>2204</v>
      </c>
      <c r="K99" s="34"/>
      <c r="L99" s="33">
        <f t="shared" si="19"/>
        <v>6.0343360680644178</v>
      </c>
      <c r="M99" s="34"/>
      <c r="N99" s="34"/>
      <c r="O99" s="34">
        <v>152293</v>
      </c>
      <c r="P99" s="34"/>
      <c r="Q99" s="34">
        <v>15426</v>
      </c>
      <c r="R99" s="34"/>
      <c r="S99" s="34">
        <v>67588</v>
      </c>
      <c r="T99" s="34"/>
      <c r="U99" s="34">
        <v>6918</v>
      </c>
      <c r="V99" s="34"/>
      <c r="W99" s="34">
        <f>(S99/27036)*1000</f>
        <v>2499.9260245598462</v>
      </c>
      <c r="X99" s="34"/>
      <c r="Y99" s="34">
        <f t="shared" si="18"/>
        <v>1134.4646423955553</v>
      </c>
      <c r="Z99" s="34"/>
      <c r="AA99" s="33">
        <f>S99/O99*100</f>
        <v>44.380240720190685</v>
      </c>
      <c r="AB99" s="34"/>
      <c r="AC99" s="33">
        <f>S99/142425*100</f>
        <v>47.455151834298753</v>
      </c>
      <c r="AD99" s="34"/>
    </row>
    <row r="100" spans="1:30" ht="10.5" customHeight="1">
      <c r="A100" s="35" t="s">
        <v>63</v>
      </c>
      <c r="B100" s="32"/>
      <c r="C100" s="34">
        <v>9913</v>
      </c>
      <c r="D100" s="34"/>
      <c r="E100" s="34">
        <v>361</v>
      </c>
      <c r="F100" s="34"/>
      <c r="G100" s="32"/>
      <c r="H100" s="34">
        <v>59002</v>
      </c>
      <c r="I100" s="34"/>
      <c r="J100" s="34">
        <v>2152</v>
      </c>
      <c r="K100" s="34"/>
      <c r="L100" s="33">
        <f t="shared" si="19"/>
        <v>5.9519822455361648</v>
      </c>
      <c r="M100" s="34"/>
      <c r="N100" s="34"/>
      <c r="O100" s="34">
        <v>165964</v>
      </c>
      <c r="P100" s="34"/>
      <c r="Q100" s="34">
        <v>16742</v>
      </c>
      <c r="R100" s="34"/>
      <c r="S100" s="34">
        <v>69088</v>
      </c>
      <c r="T100" s="34"/>
      <c r="U100" s="34">
        <v>6995</v>
      </c>
      <c r="V100" s="34"/>
      <c r="W100" s="34">
        <f>(S100/27422)*1000</f>
        <v>2519.436948435563</v>
      </c>
      <c r="X100" s="34"/>
      <c r="Y100" s="34">
        <f t="shared" si="18"/>
        <v>1170.943357852276</v>
      </c>
      <c r="Z100" s="34"/>
      <c r="AA100" s="33">
        <f t="shared" si="17"/>
        <v>41.628304933600056</v>
      </c>
      <c r="AB100" s="34"/>
      <c r="AC100" s="33">
        <f>S100/148488*100</f>
        <v>46.527665535262109</v>
      </c>
      <c r="AD100" s="34"/>
    </row>
    <row r="101" spans="1:30" ht="10.5" customHeight="1">
      <c r="A101" s="35" t="s">
        <v>64</v>
      </c>
      <c r="B101" s="32"/>
      <c r="C101" s="34">
        <v>10289</v>
      </c>
      <c r="D101" s="34"/>
      <c r="E101" s="34">
        <v>364</v>
      </c>
      <c r="F101" s="34"/>
      <c r="G101" s="32"/>
      <c r="H101" s="34">
        <v>60470</v>
      </c>
      <c r="I101" s="34"/>
      <c r="J101" s="34">
        <v>2139</v>
      </c>
      <c r="K101" s="34"/>
      <c r="L101" s="33">
        <f t="shared" si="19"/>
        <v>5.8771503547477888</v>
      </c>
      <c r="M101" s="34"/>
      <c r="N101" s="34"/>
      <c r="O101" s="34">
        <v>191263</v>
      </c>
      <c r="P101" s="34"/>
      <c r="Q101" s="34">
        <v>18590</v>
      </c>
      <c r="R101" s="34"/>
      <c r="S101" s="34">
        <v>74742</v>
      </c>
      <c r="T101" s="34"/>
      <c r="U101" s="34">
        <v>7291</v>
      </c>
      <c r="V101" s="34"/>
      <c r="W101" s="34">
        <f>(S101/28275)*1000</f>
        <v>2643.3952254641908</v>
      </c>
      <c r="X101" s="34"/>
      <c r="Y101" s="34">
        <f t="shared" si="18"/>
        <v>1236.0178600959152</v>
      </c>
      <c r="Z101" s="34"/>
      <c r="AA101" s="33">
        <f t="shared" ref="AA101:AA106" si="20">S101/O101*100</f>
        <v>39.078128022670356</v>
      </c>
      <c r="AB101" s="34"/>
      <c r="AC101" s="33">
        <f>S101/167825*100</f>
        <v>44.535677044540442</v>
      </c>
      <c r="AD101" s="34"/>
    </row>
    <row r="102" spans="1:30" ht="10.5" customHeight="1">
      <c r="A102" s="35" t="s">
        <v>65</v>
      </c>
      <c r="B102" s="32"/>
      <c r="C102" s="34">
        <v>10510</v>
      </c>
      <c r="D102" s="34"/>
      <c r="E102" s="34">
        <v>361</v>
      </c>
      <c r="F102" s="34"/>
      <c r="G102" s="32"/>
      <c r="H102" s="34">
        <v>61515</v>
      </c>
      <c r="I102" s="34"/>
      <c r="J102" s="34">
        <v>2113</v>
      </c>
      <c r="K102" s="34"/>
      <c r="L102" s="33">
        <f t="shared" si="19"/>
        <v>5.8529971455756424</v>
      </c>
      <c r="M102" s="34"/>
      <c r="N102" s="34"/>
      <c r="O102" s="34">
        <v>226904</v>
      </c>
      <c r="P102" s="34"/>
      <c r="Q102" s="34">
        <v>21590</v>
      </c>
      <c r="R102" s="34"/>
      <c r="S102" s="34">
        <v>79120</v>
      </c>
      <c r="T102" s="34"/>
      <c r="U102" s="34">
        <v>7550</v>
      </c>
      <c r="V102" s="34"/>
      <c r="W102" s="34">
        <f>(S102/29109)*1000</f>
        <v>2718.0597066199457</v>
      </c>
      <c r="X102" s="34"/>
      <c r="Y102" s="34">
        <f t="shared" ref="Y102:Y107" si="21">S102/H102*1000</f>
        <v>1286.1903600747787</v>
      </c>
      <c r="Z102" s="34"/>
      <c r="AA102" s="33">
        <f t="shared" si="20"/>
        <v>34.869372069245145</v>
      </c>
      <c r="AB102" s="34"/>
      <c r="AC102" s="33">
        <f>S102/182303*100</f>
        <v>43.400273171587962</v>
      </c>
      <c r="AD102" s="34"/>
    </row>
    <row r="103" spans="1:30" ht="10.5" customHeight="1">
      <c r="A103" s="35" t="s">
        <v>66</v>
      </c>
      <c r="B103" s="32"/>
      <c r="C103" s="34">
        <v>10648</v>
      </c>
      <c r="D103" s="34"/>
      <c r="E103" s="34">
        <v>359</v>
      </c>
      <c r="F103" s="34"/>
      <c r="G103" s="32"/>
      <c r="H103" s="34">
        <v>61553</v>
      </c>
      <c r="I103" s="34"/>
      <c r="J103" s="34">
        <v>2075</v>
      </c>
      <c r="K103" s="34"/>
      <c r="L103" s="33">
        <f t="shared" si="19"/>
        <v>5.7807099924868517</v>
      </c>
      <c r="M103" s="34"/>
      <c r="N103" s="34"/>
      <c r="O103" s="34">
        <v>257787</v>
      </c>
      <c r="P103" s="34"/>
      <c r="Q103" s="34">
        <v>24211</v>
      </c>
      <c r="R103" s="34"/>
      <c r="S103" s="34">
        <v>82195</v>
      </c>
      <c r="T103" s="34"/>
      <c r="U103" s="34">
        <v>7742</v>
      </c>
      <c r="V103" s="34"/>
      <c r="W103" s="34">
        <f>(S103/29659)*1000</f>
        <v>2771.3341650089351</v>
      </c>
      <c r="X103" s="34"/>
      <c r="Y103" s="34">
        <f t="shared" si="21"/>
        <v>1335.3532727893037</v>
      </c>
      <c r="Z103" s="34"/>
      <c r="AA103" s="33">
        <f t="shared" si="20"/>
        <v>31.884850671290639</v>
      </c>
      <c r="AB103" s="34"/>
      <c r="AC103" s="33">
        <f>S103/195726*100</f>
        <v>41.99493169022</v>
      </c>
      <c r="AD103" s="34"/>
    </row>
    <row r="104" spans="1:30" ht="10.5" customHeight="1">
      <c r="A104" s="35" t="s">
        <v>67</v>
      </c>
      <c r="B104" s="32"/>
      <c r="C104" s="34">
        <v>10595</v>
      </c>
      <c r="D104" s="34"/>
      <c r="E104" s="34">
        <v>353</v>
      </c>
      <c r="F104" s="34"/>
      <c r="G104" s="32"/>
      <c r="H104" s="34">
        <v>60436</v>
      </c>
      <c r="I104" s="34"/>
      <c r="J104" s="34">
        <v>2016</v>
      </c>
      <c r="K104" s="34"/>
      <c r="L104" s="33">
        <f t="shared" ref="L104:L109" si="22">H104/C104</f>
        <v>5.7042000943841433</v>
      </c>
      <c r="M104" s="34"/>
      <c r="N104" s="34"/>
      <c r="O104" s="34">
        <v>281096</v>
      </c>
      <c r="P104" s="34"/>
      <c r="Q104" s="34">
        <v>26531</v>
      </c>
      <c r="R104" s="34"/>
      <c r="S104" s="34">
        <v>85034</v>
      </c>
      <c r="T104" s="34"/>
      <c r="U104" s="34">
        <v>8051</v>
      </c>
      <c r="V104" s="34"/>
      <c r="W104" s="34">
        <f>(S104/29975)*1000</f>
        <v>2836.8306922435363</v>
      </c>
      <c r="X104" s="34"/>
      <c r="Y104" s="34">
        <f t="shared" si="21"/>
        <v>1407.0090674432458</v>
      </c>
      <c r="Z104" s="34"/>
      <c r="AA104" s="33">
        <f t="shared" si="20"/>
        <v>30.250875145857641</v>
      </c>
      <c r="AB104" s="34"/>
      <c r="AC104" s="33">
        <f>S104/213241*100</f>
        <v>39.876946741011345</v>
      </c>
      <c r="AD104" s="34"/>
    </row>
    <row r="105" spans="1:30" ht="10.5" customHeight="1">
      <c r="A105" s="35" t="s">
        <v>68</v>
      </c>
      <c r="B105" s="32"/>
      <c r="C105" s="34">
        <v>10501</v>
      </c>
      <c r="D105" s="34"/>
      <c r="E105" s="34">
        <v>350</v>
      </c>
      <c r="F105" s="34"/>
      <c r="G105" s="32"/>
      <c r="H105" s="34">
        <v>59473</v>
      </c>
      <c r="I105" s="34"/>
      <c r="J105" s="34">
        <v>1980</v>
      </c>
      <c r="K105" s="34"/>
      <c r="L105" s="33">
        <f t="shared" si="22"/>
        <v>5.6635558518236362</v>
      </c>
      <c r="M105" s="34"/>
      <c r="N105" s="34"/>
      <c r="O105" s="34">
        <v>301815</v>
      </c>
      <c r="P105" s="34"/>
      <c r="Q105" s="34">
        <v>28740</v>
      </c>
      <c r="R105" s="34"/>
      <c r="S105" s="34">
        <v>88525</v>
      </c>
      <c r="T105" s="34"/>
      <c r="U105" s="34">
        <v>8457</v>
      </c>
      <c r="V105" s="34"/>
      <c r="W105" s="34">
        <f>(S105/30033)*1000</f>
        <v>2947.5909832517564</v>
      </c>
      <c r="X105" s="34"/>
      <c r="Y105" s="34">
        <f t="shared" si="21"/>
        <v>1488.4905755552941</v>
      </c>
      <c r="Z105" s="34"/>
      <c r="AA105" s="33">
        <f t="shared" si="20"/>
        <v>29.33088150025678</v>
      </c>
      <c r="AB105" s="34"/>
      <c r="AC105" s="33">
        <f>S105/227594*100</f>
        <v>38.896016590947035</v>
      </c>
      <c r="AD105" s="34"/>
    </row>
    <row r="106" spans="1:30" ht="10.5" customHeight="1">
      <c r="A106" s="35" t="s">
        <v>69</v>
      </c>
      <c r="B106" s="32"/>
      <c r="C106" s="34">
        <v>10042</v>
      </c>
      <c r="D106" s="34"/>
      <c r="E106" s="34">
        <v>343</v>
      </c>
      <c r="F106" s="34"/>
      <c r="G106" s="32"/>
      <c r="H106" s="34">
        <v>56222</v>
      </c>
      <c r="I106" s="34"/>
      <c r="J106" s="34">
        <v>1921</v>
      </c>
      <c r="K106" s="34"/>
      <c r="L106" s="33">
        <f t="shared" si="22"/>
        <v>5.5986855208125874</v>
      </c>
      <c r="M106" s="34"/>
      <c r="N106" s="34"/>
      <c r="O106" s="34">
        <v>311381</v>
      </c>
      <c r="P106" s="34"/>
      <c r="Q106" s="34">
        <v>31007</v>
      </c>
      <c r="R106" s="34"/>
      <c r="S106" s="34">
        <v>87430</v>
      </c>
      <c r="T106" s="34"/>
      <c r="U106" s="34">
        <v>8737</v>
      </c>
      <c r="V106" s="34"/>
      <c r="W106" s="34">
        <f>(S106/29263)*1000</f>
        <v>2987.7319481939653</v>
      </c>
      <c r="X106" s="34"/>
      <c r="Y106" s="34">
        <f t="shared" si="21"/>
        <v>1555.0851979652093</v>
      </c>
      <c r="Z106" s="34"/>
      <c r="AA106" s="33">
        <f t="shared" si="20"/>
        <v>28.078142211631409</v>
      </c>
      <c r="AB106" s="34"/>
      <c r="AC106" s="33">
        <f>S106/232468*100</f>
        <v>37.609477433453208</v>
      </c>
      <c r="AD106" s="34"/>
    </row>
    <row r="107" spans="1:30" ht="10.5" customHeight="1">
      <c r="A107" s="35" t="s">
        <v>79</v>
      </c>
      <c r="B107" s="32"/>
      <c r="C107" s="34">
        <v>9695</v>
      </c>
      <c r="D107" s="34"/>
      <c r="E107" s="34">
        <v>336</v>
      </c>
      <c r="F107" s="34"/>
      <c r="G107" s="32"/>
      <c r="H107" s="34">
        <v>54034</v>
      </c>
      <c r="I107" s="34"/>
      <c r="J107" s="34">
        <v>1875</v>
      </c>
      <c r="K107" s="34"/>
      <c r="L107" s="33">
        <f t="shared" si="22"/>
        <v>5.5733883445074781</v>
      </c>
      <c r="M107" s="34"/>
      <c r="N107" s="34"/>
      <c r="O107" s="34">
        <v>321584</v>
      </c>
      <c r="P107" s="34"/>
      <c r="Q107" s="34">
        <v>33170</v>
      </c>
      <c r="R107" s="34"/>
      <c r="S107" s="34">
        <v>86828</v>
      </c>
      <c r="T107" s="34"/>
      <c r="U107" s="34">
        <v>8990</v>
      </c>
      <c r="V107" s="34"/>
      <c r="W107" s="34">
        <f>(S107/28824)*1000</f>
        <v>3012.3508187621428</v>
      </c>
      <c r="X107" s="34"/>
      <c r="Y107" s="34">
        <f t="shared" si="21"/>
        <v>1606.9141651552725</v>
      </c>
      <c r="Z107" s="34"/>
      <c r="AA107" s="33">
        <f>S107/O107*100</f>
        <v>27.000099507438179</v>
      </c>
      <c r="AB107" s="34"/>
      <c r="AC107" s="33">
        <f>S107/237806*100</f>
        <v>36.512114917201416</v>
      </c>
      <c r="AD107" s="34"/>
    </row>
    <row r="108" spans="1:30" ht="10.5" customHeight="1">
      <c r="A108" s="35" t="s">
        <v>80</v>
      </c>
      <c r="B108" s="32"/>
      <c r="C108" s="34">
        <v>9481</v>
      </c>
      <c r="D108" s="34"/>
      <c r="E108" s="34">
        <v>331</v>
      </c>
      <c r="F108" s="34"/>
      <c r="G108" s="32"/>
      <c r="H108" s="34">
        <v>52694</v>
      </c>
      <c r="I108" s="34"/>
      <c r="J108" s="34">
        <v>1841</v>
      </c>
      <c r="K108" s="34"/>
      <c r="L108" s="33">
        <f t="shared" si="22"/>
        <v>5.557852547199662</v>
      </c>
      <c r="M108" s="34"/>
      <c r="N108" s="34"/>
      <c r="O108" s="34">
        <v>338224</v>
      </c>
      <c r="P108" s="34"/>
      <c r="Q108" s="34">
        <v>35674</v>
      </c>
      <c r="R108" s="34"/>
      <c r="S108" s="34">
        <v>89000</v>
      </c>
      <c r="T108" s="34"/>
      <c r="U108" s="34">
        <v>9433</v>
      </c>
      <c r="V108" s="34"/>
      <c r="W108" s="34">
        <f>(S108/28623.646)*1000</f>
        <v>3109.3173804622929</v>
      </c>
      <c r="X108" s="34"/>
      <c r="Y108" s="34">
        <f t="shared" ref="Y108" si="23">S108/H108*1000</f>
        <v>1688.9968497362129</v>
      </c>
      <c r="Z108" s="34"/>
      <c r="AA108" s="33">
        <f>S108/O108*100</f>
        <v>26.313922134443445</v>
      </c>
      <c r="AB108" s="34"/>
      <c r="AC108" s="54">
        <f>S108/247118.313*100</f>
        <v>36.015137413146711</v>
      </c>
      <c r="AD108" s="34"/>
    </row>
    <row r="109" spans="1:30" ht="10.5" customHeight="1">
      <c r="A109" s="35" t="s">
        <v>82</v>
      </c>
      <c r="B109" s="32"/>
      <c r="C109" s="34">
        <v>9163</v>
      </c>
      <c r="D109" s="34"/>
      <c r="E109" s="34">
        <v>320</v>
      </c>
      <c r="F109" s="34"/>
      <c r="G109" s="32"/>
      <c r="H109" s="34">
        <v>49638</v>
      </c>
      <c r="I109" s="34"/>
      <c r="J109" s="34">
        <v>1735</v>
      </c>
      <c r="K109" s="34"/>
      <c r="L109" s="33">
        <f t="shared" si="22"/>
        <v>5.417221434028157</v>
      </c>
      <c r="M109" s="34"/>
      <c r="N109" s="34"/>
      <c r="O109" s="34">
        <v>348767</v>
      </c>
      <c r="P109" s="34"/>
      <c r="Q109" s="34">
        <v>38062</v>
      </c>
      <c r="R109" s="34"/>
      <c r="S109" s="34">
        <v>91141</v>
      </c>
      <c r="T109" s="34"/>
      <c r="U109" s="34">
        <v>9993</v>
      </c>
      <c r="V109" s="34"/>
      <c r="W109" s="34">
        <f>(S109/28607.038)*1000</f>
        <v>3185.9642371922605</v>
      </c>
      <c r="X109" s="34"/>
      <c r="Y109" s="34">
        <f t="shared" ref="Y109" si="24">S109/H109*1000</f>
        <v>1836.1134614609775</v>
      </c>
      <c r="Z109" s="34"/>
      <c r="AA109" s="33">
        <f>S109/O109*100</f>
        <v>26.132346236885944</v>
      </c>
      <c r="AB109" s="34"/>
      <c r="AC109" s="54">
        <f>S109/258546.222*100</f>
        <v>35.251336993042578</v>
      </c>
      <c r="AD109" s="34"/>
    </row>
    <row r="110" spans="1:30" ht="10.5" customHeight="1">
      <c r="A110" s="35"/>
      <c r="B110" s="32"/>
      <c r="C110" s="34"/>
      <c r="D110" s="34"/>
      <c r="E110" s="34"/>
      <c r="F110" s="34"/>
      <c r="G110" s="32"/>
      <c r="H110" s="34"/>
      <c r="I110" s="34"/>
      <c r="J110" s="34"/>
      <c r="K110" s="34"/>
      <c r="L110" s="33"/>
      <c r="M110" s="34"/>
      <c r="N110" s="34"/>
      <c r="O110" s="34"/>
      <c r="P110" s="34"/>
      <c r="Q110" s="34"/>
      <c r="R110" s="34"/>
      <c r="S110" s="34"/>
      <c r="T110" s="34"/>
      <c r="U110" s="34"/>
      <c r="V110" s="34"/>
      <c r="W110" s="34"/>
      <c r="X110" s="34"/>
      <c r="Y110" s="34"/>
      <c r="Z110" s="34"/>
      <c r="AA110" s="33"/>
      <c r="AB110" s="34"/>
      <c r="AC110" s="54"/>
      <c r="AD110" s="34"/>
    </row>
    <row r="111" spans="1:30" ht="10.5" customHeight="1">
      <c r="A111" s="35"/>
      <c r="B111" s="32"/>
      <c r="C111" s="34"/>
      <c r="D111" s="34"/>
      <c r="E111" s="34"/>
      <c r="F111" s="34"/>
      <c r="G111" s="32"/>
      <c r="H111" s="34"/>
      <c r="I111" s="34"/>
      <c r="J111" s="34"/>
      <c r="K111" s="34"/>
      <c r="L111" s="33"/>
      <c r="M111" s="34"/>
      <c r="N111" s="34"/>
      <c r="O111" s="34"/>
      <c r="P111" s="34"/>
      <c r="Q111" s="34"/>
      <c r="R111" s="34"/>
      <c r="S111" s="34"/>
      <c r="T111" s="34"/>
      <c r="U111" s="34"/>
      <c r="V111" s="34"/>
      <c r="W111" s="34"/>
      <c r="X111" s="34"/>
      <c r="Y111" s="34"/>
      <c r="Z111" s="34"/>
      <c r="AA111" s="33"/>
      <c r="AB111" s="34"/>
      <c r="AC111" s="54"/>
      <c r="AD111" s="34"/>
    </row>
    <row r="112" spans="1:30" ht="10.5" customHeight="1">
      <c r="A112" s="35"/>
      <c r="B112" s="32"/>
      <c r="C112" s="34"/>
      <c r="D112" s="34"/>
      <c r="E112" s="34"/>
      <c r="F112" s="34"/>
      <c r="G112" s="32"/>
      <c r="H112" s="34"/>
      <c r="I112" s="34"/>
      <c r="J112" s="34"/>
      <c r="K112" s="34"/>
      <c r="L112" s="33"/>
      <c r="M112" s="34"/>
      <c r="N112" s="34"/>
      <c r="O112" s="34"/>
      <c r="P112" s="34"/>
      <c r="Q112" s="34"/>
      <c r="R112" s="34"/>
      <c r="S112" s="34"/>
      <c r="T112" s="34"/>
      <c r="U112" s="34"/>
      <c r="V112" s="34"/>
      <c r="W112" s="34"/>
      <c r="X112" s="34"/>
      <c r="Y112" s="34"/>
      <c r="Z112" s="34"/>
      <c r="AA112" s="33"/>
      <c r="AB112" s="34"/>
      <c r="AC112" s="54"/>
      <c r="AD112" s="34"/>
    </row>
    <row r="113" spans="1:31" ht="10.5" customHeight="1">
      <c r="A113" s="35"/>
      <c r="B113" s="32"/>
      <c r="C113" s="34"/>
      <c r="D113" s="34"/>
      <c r="E113" s="34"/>
      <c r="F113" s="34"/>
      <c r="G113" s="32"/>
      <c r="H113" s="34"/>
      <c r="I113" s="34"/>
      <c r="J113" s="34"/>
      <c r="K113" s="34"/>
      <c r="L113" s="33"/>
      <c r="M113" s="34"/>
      <c r="N113" s="34"/>
      <c r="O113" s="34"/>
      <c r="P113" s="34"/>
      <c r="Q113" s="34"/>
      <c r="R113" s="34"/>
      <c r="S113" s="34"/>
      <c r="T113" s="34"/>
      <c r="U113" s="34"/>
      <c r="V113" s="34"/>
      <c r="W113" s="34"/>
      <c r="X113" s="34"/>
      <c r="Y113" s="34"/>
      <c r="Z113" s="34"/>
      <c r="AA113" s="33"/>
      <c r="AB113" s="34"/>
      <c r="AC113" s="54"/>
      <c r="AD113" s="34"/>
    </row>
    <row r="114" spans="1:31" ht="11.25">
      <c r="A114" s="32"/>
      <c r="B114" s="32"/>
      <c r="C114" s="32"/>
      <c r="D114" s="32"/>
      <c r="E114" s="32"/>
      <c r="F114" s="32"/>
      <c r="G114" s="32"/>
      <c r="H114" s="32"/>
      <c r="I114" s="32"/>
      <c r="J114" s="32"/>
      <c r="K114" s="32"/>
      <c r="L114" s="32"/>
      <c r="M114" s="32"/>
      <c r="N114" s="32"/>
      <c r="O114" s="32"/>
      <c r="P114" s="32"/>
      <c r="Q114" s="32"/>
      <c r="R114" s="32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</row>
    <row r="115" spans="1:31" ht="11.25">
      <c r="A115" s="32"/>
      <c r="B115" s="32"/>
      <c r="C115" s="32"/>
      <c r="D115" s="32"/>
      <c r="E115" s="32"/>
      <c r="F115" s="32"/>
      <c r="G115" s="32"/>
      <c r="H115" s="32"/>
      <c r="I115" s="32"/>
      <c r="J115" s="32"/>
      <c r="K115" s="32"/>
      <c r="L115" s="32"/>
      <c r="M115" s="32"/>
      <c r="N115" s="32"/>
      <c r="O115" s="32"/>
      <c r="P115" s="32"/>
      <c r="Q115" s="32"/>
      <c r="R115" s="32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</row>
    <row r="116" spans="1:31" ht="11.25">
      <c r="A116" s="32"/>
      <c r="B116" s="32"/>
      <c r="C116" s="32"/>
      <c r="D116" s="32"/>
      <c r="E116" s="32"/>
      <c r="F116" s="32"/>
      <c r="G116" s="32"/>
      <c r="H116" s="32"/>
      <c r="I116" s="32"/>
      <c r="J116" s="32"/>
      <c r="K116" s="32"/>
      <c r="L116" s="32"/>
      <c r="M116" s="32"/>
      <c r="N116" s="32"/>
      <c r="O116" s="32"/>
      <c r="P116" s="32"/>
      <c r="Q116" s="32"/>
      <c r="R116" s="32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</row>
    <row r="117" spans="1:31" ht="11.25">
      <c r="A117" s="32"/>
      <c r="B117" s="32"/>
      <c r="C117" s="32"/>
      <c r="D117" s="32"/>
      <c r="E117" s="32"/>
      <c r="F117" s="32"/>
      <c r="G117" s="32"/>
      <c r="H117" s="32"/>
      <c r="I117" s="32"/>
      <c r="J117" s="32"/>
      <c r="K117" s="32"/>
      <c r="L117" s="32"/>
      <c r="M117" s="32"/>
      <c r="N117" s="32"/>
      <c r="O117" s="32"/>
      <c r="P117" s="32"/>
      <c r="Q117" s="32"/>
      <c r="R117" s="32"/>
      <c r="S117" s="32"/>
      <c r="T117" s="32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</row>
    <row r="118" spans="1:31" ht="11.25">
      <c r="A118" s="32"/>
      <c r="B118" s="32"/>
      <c r="C118" s="32"/>
      <c r="D118" s="32"/>
      <c r="E118" s="32"/>
      <c r="F118" s="32"/>
      <c r="G118" s="32"/>
      <c r="H118" s="32"/>
      <c r="I118" s="32"/>
      <c r="J118" s="32"/>
      <c r="K118" s="32"/>
      <c r="L118" s="32"/>
      <c r="M118" s="32"/>
      <c r="N118" s="32"/>
      <c r="O118" s="32"/>
      <c r="P118" s="32"/>
      <c r="Q118" s="32"/>
      <c r="R118" s="32"/>
      <c r="S118" s="32"/>
      <c r="T118" s="32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</row>
    <row r="119" spans="1:31" ht="11.25">
      <c r="A119" s="32"/>
      <c r="B119" s="32"/>
      <c r="C119" s="32"/>
      <c r="D119" s="32"/>
      <c r="E119" s="32"/>
      <c r="F119" s="32"/>
      <c r="G119" s="32"/>
      <c r="H119" s="32"/>
      <c r="I119" s="32"/>
      <c r="J119" s="32"/>
      <c r="K119" s="32"/>
      <c r="L119" s="32"/>
      <c r="M119" s="32"/>
      <c r="N119" s="32"/>
      <c r="O119" s="32"/>
      <c r="P119" s="32"/>
      <c r="Q119" s="32"/>
      <c r="R119" s="32"/>
      <c r="S119" s="32"/>
      <c r="T119" s="32"/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</row>
    <row r="120" spans="1:31" ht="11.25">
      <c r="A120" s="32"/>
      <c r="B120" s="32"/>
      <c r="C120" s="32"/>
      <c r="D120" s="32"/>
      <c r="E120" s="32"/>
      <c r="F120" s="32"/>
      <c r="G120" s="32"/>
      <c r="H120" s="32"/>
      <c r="I120" s="32"/>
      <c r="J120" s="32"/>
      <c r="K120" s="32"/>
      <c r="L120" s="32"/>
      <c r="M120" s="32"/>
      <c r="N120" s="32"/>
      <c r="O120" s="32"/>
      <c r="P120" s="32"/>
      <c r="Q120" s="32"/>
      <c r="R120" s="32"/>
      <c r="S120" s="32"/>
      <c r="T120" s="32"/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</row>
    <row r="121" spans="1:31" ht="11.25">
      <c r="A121" s="32"/>
      <c r="B121" s="32"/>
      <c r="C121" s="32"/>
      <c r="D121" s="32"/>
      <c r="E121" s="32"/>
      <c r="F121" s="32"/>
      <c r="G121" s="32"/>
      <c r="H121" s="32"/>
      <c r="I121" s="32"/>
      <c r="J121" s="32"/>
      <c r="K121" s="32"/>
      <c r="L121" s="32"/>
      <c r="M121" s="32"/>
      <c r="N121" s="32"/>
      <c r="O121" s="32"/>
      <c r="P121" s="32"/>
      <c r="Q121" s="32"/>
      <c r="R121" s="32"/>
      <c r="S121" s="32"/>
      <c r="T121" s="32"/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</row>
    <row r="122" spans="1:31" ht="11.25">
      <c r="A122" s="32"/>
      <c r="B122" s="32"/>
      <c r="C122" s="32"/>
      <c r="D122" s="32"/>
      <c r="E122" s="32"/>
      <c r="F122" s="32"/>
      <c r="G122" s="32"/>
      <c r="H122" s="32"/>
      <c r="I122" s="32"/>
      <c r="J122" s="32"/>
      <c r="K122" s="32"/>
      <c r="L122" s="32"/>
      <c r="M122" s="32"/>
      <c r="N122" s="32"/>
      <c r="O122" s="32"/>
      <c r="P122" s="32"/>
      <c r="Q122" s="32"/>
      <c r="R122" s="32"/>
      <c r="S122" s="32"/>
      <c r="T122" s="32"/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</row>
    <row r="123" spans="1:31" ht="11.25">
      <c r="A123" s="32"/>
      <c r="B123" s="32"/>
      <c r="C123" s="32"/>
      <c r="D123" s="32"/>
      <c r="E123" s="32"/>
      <c r="F123" s="32"/>
      <c r="G123" s="32"/>
      <c r="H123" s="32"/>
      <c r="I123" s="32"/>
      <c r="J123" s="32"/>
      <c r="K123" s="32"/>
      <c r="L123" s="32"/>
      <c r="M123" s="32"/>
      <c r="N123" s="32"/>
      <c r="O123" s="32"/>
      <c r="P123" s="32"/>
      <c r="Q123" s="32"/>
      <c r="R123" s="32"/>
      <c r="S123" s="32"/>
      <c r="T123" s="32"/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</row>
    <row r="124" spans="1:31" ht="6.6" customHeight="1">
      <c r="A124" s="32"/>
      <c r="B124" s="32"/>
      <c r="C124" s="32"/>
      <c r="D124" s="32"/>
      <c r="E124" s="32"/>
      <c r="F124" s="32"/>
      <c r="G124" s="32"/>
      <c r="H124" s="32"/>
      <c r="I124" s="32"/>
      <c r="J124" s="32"/>
      <c r="K124" s="32"/>
      <c r="L124" s="32"/>
      <c r="M124" s="32"/>
      <c r="N124" s="32"/>
      <c r="O124" s="32"/>
      <c r="P124" s="32"/>
      <c r="Q124" s="32"/>
      <c r="R124" s="32"/>
      <c r="S124" s="32"/>
      <c r="T124" s="32"/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</row>
    <row r="125" spans="1:31" ht="6.6" customHeight="1">
      <c r="A125" s="32"/>
      <c r="B125" s="32"/>
      <c r="C125" s="32"/>
      <c r="D125" s="32"/>
      <c r="E125" s="32"/>
      <c r="F125" s="32"/>
      <c r="G125" s="32"/>
      <c r="H125" s="32"/>
      <c r="I125" s="32"/>
      <c r="J125" s="32"/>
      <c r="K125" s="32"/>
      <c r="L125" s="32"/>
      <c r="M125" s="32"/>
      <c r="N125" s="32"/>
      <c r="O125" s="32"/>
      <c r="P125" s="32"/>
      <c r="Q125" s="32"/>
      <c r="R125" s="32"/>
      <c r="S125" s="32"/>
      <c r="T125" s="32"/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</row>
    <row r="126" spans="1:31" ht="6.6" customHeight="1">
      <c r="A126" s="32"/>
      <c r="B126" s="32"/>
      <c r="C126" s="32"/>
      <c r="D126" s="32"/>
      <c r="E126" s="32"/>
      <c r="F126" s="32"/>
      <c r="G126" s="32"/>
      <c r="H126" s="32"/>
      <c r="I126" s="32"/>
      <c r="J126" s="32"/>
      <c r="K126" s="32"/>
      <c r="L126" s="32"/>
      <c r="M126" s="32"/>
      <c r="N126" s="32"/>
      <c r="O126" s="32"/>
      <c r="P126" s="32"/>
      <c r="Q126" s="32"/>
      <c r="R126" s="32"/>
      <c r="S126" s="32"/>
      <c r="T126" s="32"/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</row>
    <row r="127" spans="1:31" s="5" customFormat="1" ht="15" customHeight="1">
      <c r="A127" s="9" t="s">
        <v>52</v>
      </c>
      <c r="B127" s="10"/>
      <c r="C127" s="10"/>
      <c r="D127" s="10"/>
      <c r="E127" s="14"/>
      <c r="F127" s="10"/>
      <c r="G127" s="10"/>
      <c r="H127" s="10"/>
      <c r="I127" s="10"/>
      <c r="J127" s="10"/>
      <c r="K127" s="10"/>
      <c r="L127" s="10"/>
      <c r="M127" s="10"/>
      <c r="N127" s="46"/>
      <c r="O127" s="9" t="s">
        <v>52</v>
      </c>
      <c r="P127" s="10"/>
      <c r="Q127" s="10"/>
      <c r="R127" s="10"/>
      <c r="S127" s="14"/>
      <c r="T127" s="10"/>
      <c r="U127" s="10"/>
      <c r="V127" s="10"/>
      <c r="W127" s="10"/>
      <c r="X127" s="10"/>
      <c r="Y127" s="10"/>
      <c r="Z127" s="10"/>
      <c r="AA127" s="10"/>
      <c r="AB127" s="14"/>
      <c r="AC127" s="14"/>
      <c r="AD127" s="14"/>
      <c r="AE127" s="47"/>
    </row>
    <row r="128" spans="1:31" s="6" customFormat="1" ht="15" customHeight="1">
      <c r="A128" s="16" t="s">
        <v>0</v>
      </c>
      <c r="B128" s="17"/>
      <c r="C128" s="17"/>
      <c r="D128" s="17"/>
      <c r="E128" s="17"/>
      <c r="F128" s="17"/>
      <c r="G128" s="17"/>
      <c r="H128" s="17"/>
      <c r="I128" s="17"/>
      <c r="J128" s="17"/>
      <c r="K128" s="17"/>
      <c r="L128" s="17"/>
      <c r="M128" s="17"/>
      <c r="N128" s="48"/>
      <c r="O128" s="16" t="s">
        <v>0</v>
      </c>
      <c r="P128" s="17"/>
      <c r="Q128" s="17"/>
      <c r="R128" s="17"/>
      <c r="S128" s="17"/>
      <c r="T128" s="17"/>
      <c r="U128" s="17"/>
      <c r="V128" s="17"/>
      <c r="W128" s="17"/>
      <c r="X128" s="17"/>
      <c r="Y128" s="17"/>
      <c r="Z128" s="17"/>
      <c r="AA128" s="17"/>
      <c r="AB128" s="49"/>
      <c r="AC128" s="49"/>
      <c r="AD128" s="49"/>
      <c r="AE128" s="50"/>
    </row>
    <row r="129" spans="1:31" s="7" customFormat="1" ht="12" customHeight="1">
      <c r="A129" s="21" t="s">
        <v>1</v>
      </c>
      <c r="B129" s="23"/>
      <c r="C129" s="23"/>
      <c r="D129" s="23"/>
      <c r="E129" s="23"/>
      <c r="F129" s="23"/>
      <c r="G129" s="23"/>
      <c r="H129" s="23"/>
      <c r="I129" s="23"/>
      <c r="J129" s="23"/>
      <c r="K129" s="23"/>
      <c r="L129" s="23"/>
      <c r="M129" s="23"/>
      <c r="N129" s="51"/>
      <c r="O129" s="21" t="s">
        <v>1</v>
      </c>
      <c r="P129" s="23"/>
      <c r="Q129" s="23"/>
      <c r="R129" s="23"/>
      <c r="S129" s="23"/>
      <c r="T129" s="23"/>
      <c r="U129" s="23"/>
      <c r="V129" s="23"/>
      <c r="W129" s="23"/>
      <c r="X129" s="23"/>
      <c r="Y129" s="23"/>
      <c r="Z129" s="23"/>
      <c r="AA129" s="23"/>
      <c r="AB129" s="22"/>
      <c r="AC129" s="22"/>
      <c r="AD129" s="22"/>
      <c r="AE129" s="52"/>
    </row>
    <row r="130" spans="1:31" s="5" customFormat="1" ht="15" customHeight="1">
      <c r="A130" s="9" t="s">
        <v>81</v>
      </c>
      <c r="B130" s="10"/>
      <c r="C130" s="10"/>
      <c r="D130" s="10"/>
      <c r="E130" s="10"/>
      <c r="F130" s="10"/>
      <c r="G130" s="10"/>
      <c r="H130" s="10"/>
      <c r="I130" s="10"/>
      <c r="J130" s="10"/>
      <c r="K130" s="10"/>
      <c r="L130" s="10"/>
      <c r="M130" s="10"/>
      <c r="N130" s="46"/>
      <c r="O130" s="9" t="s">
        <v>81</v>
      </c>
      <c r="P130" s="10"/>
      <c r="Q130" s="10"/>
      <c r="R130" s="10"/>
      <c r="S130" s="10"/>
      <c r="T130" s="10"/>
      <c r="U130" s="10"/>
      <c r="V130" s="10"/>
      <c r="W130" s="10"/>
      <c r="X130" s="10"/>
      <c r="Y130" s="10"/>
      <c r="Z130" s="10"/>
      <c r="AA130" s="10"/>
      <c r="AB130" s="14"/>
      <c r="AC130" s="14"/>
      <c r="AD130" s="14"/>
      <c r="AE130" s="47"/>
    </row>
    <row r="131" spans="1:31" s="8" customFormat="1" ht="11.25">
      <c r="A131" s="65"/>
      <c r="B131" s="65"/>
      <c r="C131" s="66" t="s">
        <v>2</v>
      </c>
      <c r="D131" s="67"/>
      <c r="E131" s="67"/>
      <c r="F131" s="65"/>
      <c r="G131" s="65"/>
      <c r="H131" s="68" t="s">
        <v>47</v>
      </c>
      <c r="I131" s="65"/>
      <c r="J131" s="65"/>
      <c r="K131" s="65"/>
      <c r="L131" s="65"/>
      <c r="M131" s="65"/>
      <c r="N131" s="32"/>
      <c r="O131" s="68" t="s">
        <v>48</v>
      </c>
      <c r="P131" s="65"/>
      <c r="Q131" s="65"/>
      <c r="R131" s="65"/>
      <c r="S131" s="65"/>
      <c r="T131" s="65"/>
      <c r="U131" s="68" t="s">
        <v>5</v>
      </c>
      <c r="V131" s="65"/>
      <c r="W131" s="65"/>
      <c r="X131" s="65"/>
      <c r="Y131" s="65"/>
      <c r="Z131" s="65"/>
      <c r="AA131" s="65"/>
      <c r="AB131" s="65"/>
      <c r="AC131" s="65"/>
      <c r="AD131" s="65"/>
      <c r="AE131" s="44"/>
    </row>
    <row r="132" spans="1:31" s="8" customFormat="1" ht="11.25">
      <c r="A132" s="35" t="s">
        <v>6</v>
      </c>
      <c r="B132" s="32"/>
      <c r="C132" s="69" t="s">
        <v>7</v>
      </c>
      <c r="D132" s="65"/>
      <c r="E132" s="69" t="s">
        <v>8</v>
      </c>
      <c r="F132" s="32"/>
      <c r="G132" s="32"/>
      <c r="H132" s="69" t="s">
        <v>7</v>
      </c>
      <c r="I132" s="65"/>
      <c r="J132" s="69" t="s">
        <v>8</v>
      </c>
      <c r="K132" s="65"/>
      <c r="L132" s="65"/>
      <c r="M132" s="65"/>
      <c r="N132" s="32"/>
      <c r="O132" s="69" t="s">
        <v>9</v>
      </c>
      <c r="P132" s="65"/>
      <c r="Q132" s="65"/>
      <c r="R132" s="32"/>
      <c r="S132" s="69" t="s">
        <v>9</v>
      </c>
      <c r="T132" s="65"/>
      <c r="U132" s="65"/>
      <c r="V132" s="65"/>
      <c r="W132" s="65"/>
      <c r="X132" s="65"/>
      <c r="Y132" s="65"/>
      <c r="Z132" s="65"/>
      <c r="AA132" s="69" t="s">
        <v>10</v>
      </c>
      <c r="AB132" s="65"/>
      <c r="AC132" s="69" t="s">
        <v>11</v>
      </c>
      <c r="AD132" s="65"/>
      <c r="AE132" s="44"/>
    </row>
    <row r="133" spans="1:31" s="8" customFormat="1" ht="11.25">
      <c r="A133" s="35" t="s">
        <v>12</v>
      </c>
      <c r="B133" s="32"/>
      <c r="C133" s="70" t="s">
        <v>13</v>
      </c>
      <c r="D133" s="32"/>
      <c r="E133" s="70" t="s">
        <v>14</v>
      </c>
      <c r="F133" s="32"/>
      <c r="G133" s="32"/>
      <c r="H133" s="70" t="s">
        <v>13</v>
      </c>
      <c r="I133" s="32"/>
      <c r="J133" s="70" t="s">
        <v>14</v>
      </c>
      <c r="K133" s="32"/>
      <c r="L133" s="70" t="s">
        <v>15</v>
      </c>
      <c r="M133" s="32"/>
      <c r="N133" s="32"/>
      <c r="O133" s="70" t="s">
        <v>13</v>
      </c>
      <c r="P133" s="32"/>
      <c r="Q133" s="70" t="s">
        <v>15</v>
      </c>
      <c r="R133" s="32"/>
      <c r="S133" s="70" t="s">
        <v>13</v>
      </c>
      <c r="T133" s="32"/>
      <c r="U133" s="70" t="s">
        <v>15</v>
      </c>
      <c r="V133" s="32"/>
      <c r="W133" s="70" t="s">
        <v>16</v>
      </c>
      <c r="X133" s="32"/>
      <c r="Y133" s="70" t="s">
        <v>15</v>
      </c>
      <c r="Z133" s="32"/>
      <c r="AA133" s="70" t="s">
        <v>17</v>
      </c>
      <c r="AB133" s="32"/>
      <c r="AC133" s="70" t="s">
        <v>18</v>
      </c>
      <c r="AD133" s="32"/>
      <c r="AE133" s="44"/>
    </row>
    <row r="134" spans="1:31" s="8" customFormat="1" ht="11.45" customHeight="1">
      <c r="A134" s="35" t="s">
        <v>19</v>
      </c>
      <c r="B134" s="32"/>
      <c r="C134" s="70" t="s">
        <v>20</v>
      </c>
      <c r="D134" s="32"/>
      <c r="E134" s="70" t="s">
        <v>21</v>
      </c>
      <c r="F134" s="32"/>
      <c r="G134" s="32"/>
      <c r="H134" s="70" t="s">
        <v>20</v>
      </c>
      <c r="I134" s="32"/>
      <c r="J134" s="70" t="s">
        <v>21</v>
      </c>
      <c r="K134" s="32"/>
      <c r="L134" s="70" t="s">
        <v>22</v>
      </c>
      <c r="M134" s="32"/>
      <c r="N134" s="32"/>
      <c r="O134" s="71" t="s">
        <v>23</v>
      </c>
      <c r="P134" s="32"/>
      <c r="Q134" s="70" t="s">
        <v>22</v>
      </c>
      <c r="R134" s="32"/>
      <c r="S134" s="70" t="s">
        <v>23</v>
      </c>
      <c r="T134" s="32"/>
      <c r="U134" s="71" t="s">
        <v>77</v>
      </c>
      <c r="V134" s="32"/>
      <c r="W134" s="70" t="s">
        <v>24</v>
      </c>
      <c r="X134" s="32"/>
      <c r="Y134" s="70" t="s">
        <v>25</v>
      </c>
      <c r="Z134" s="32"/>
      <c r="AA134" s="70" t="s">
        <v>26</v>
      </c>
      <c r="AB134" s="32"/>
      <c r="AC134" s="73" t="s">
        <v>78</v>
      </c>
      <c r="AD134" s="32"/>
      <c r="AE134" s="44"/>
    </row>
    <row r="135" spans="1:31" ht="0.95" customHeight="1">
      <c r="A135" s="27"/>
      <c r="B135" s="27"/>
      <c r="C135" s="27"/>
      <c r="D135" s="27"/>
      <c r="E135" s="27"/>
      <c r="F135" s="27"/>
      <c r="G135" s="27"/>
      <c r="H135" s="27"/>
      <c r="I135" s="27"/>
      <c r="J135" s="27"/>
      <c r="K135" s="27"/>
      <c r="L135" s="27"/>
      <c r="M135" s="27"/>
      <c r="N135" s="28"/>
      <c r="O135" s="30"/>
      <c r="P135" s="27"/>
      <c r="Q135" s="27"/>
      <c r="R135" s="27"/>
      <c r="S135" s="27"/>
      <c r="T135" s="27"/>
      <c r="U135" s="30"/>
      <c r="V135" s="27"/>
      <c r="W135" s="27"/>
      <c r="X135" s="27"/>
      <c r="Y135" s="27"/>
      <c r="Z135" s="27"/>
      <c r="AA135" s="27"/>
      <c r="AB135" s="27"/>
      <c r="AC135" s="27"/>
      <c r="AD135" s="27"/>
    </row>
    <row r="136" spans="1:31" ht="11.25">
      <c r="A136" s="31" t="s">
        <v>49</v>
      </c>
      <c r="B136" s="32"/>
      <c r="C136" s="32"/>
      <c r="D136" s="36"/>
      <c r="E136" s="32"/>
      <c r="F136" s="32"/>
      <c r="G136" s="36"/>
      <c r="H136" s="32"/>
      <c r="I136" s="32"/>
      <c r="J136" s="32"/>
      <c r="K136" s="32"/>
      <c r="L136" s="32"/>
      <c r="M136" s="32"/>
      <c r="N136" s="32"/>
      <c r="O136" s="32"/>
      <c r="P136" s="44"/>
      <c r="Q136" s="44"/>
      <c r="R136" s="44"/>
      <c r="S136" s="44"/>
      <c r="T136" s="44"/>
      <c r="U136" s="44"/>
      <c r="V136" s="44"/>
      <c r="W136" s="53"/>
      <c r="X136" s="44"/>
      <c r="Y136" s="44"/>
      <c r="Z136" s="44"/>
      <c r="AA136" s="54"/>
      <c r="AB136" s="44"/>
      <c r="AC136" s="54"/>
      <c r="AD136" s="44"/>
    </row>
    <row r="137" spans="1:31" ht="10.7" customHeight="1">
      <c r="A137" s="35" t="s">
        <v>73</v>
      </c>
      <c r="B137" s="32"/>
      <c r="C137" s="34">
        <v>596</v>
      </c>
      <c r="D137" s="36">
        <f t="shared" ref="D137:D153" si="25">C137/G137*1000</f>
        <v>309.12863070539419</v>
      </c>
      <c r="E137" s="34">
        <v>309</v>
      </c>
      <c r="F137" s="32"/>
      <c r="G137" s="36">
        <v>1928</v>
      </c>
      <c r="H137" s="34">
        <v>6643</v>
      </c>
      <c r="I137" s="34"/>
      <c r="J137" s="34">
        <v>3446</v>
      </c>
      <c r="K137" s="34"/>
      <c r="L137" s="33">
        <f>H137/C137</f>
        <v>11.145973154362416</v>
      </c>
      <c r="M137" s="32"/>
      <c r="N137" s="34"/>
      <c r="O137" s="37">
        <v>857</v>
      </c>
      <c r="P137" s="45"/>
      <c r="Q137" s="45">
        <v>1438</v>
      </c>
      <c r="R137" s="45"/>
      <c r="S137" s="45">
        <v>628</v>
      </c>
      <c r="T137" s="45"/>
      <c r="U137" s="45">
        <v>1054</v>
      </c>
      <c r="V137" s="44"/>
      <c r="W137" s="45">
        <f t="shared" ref="W137:W154" si="26">(S137/G137)*1000</f>
        <v>325.72614107883817</v>
      </c>
      <c r="X137" s="45"/>
      <c r="Y137" s="45">
        <f t="shared" ref="Y137:Y154" si="27">S137/H137*1000</f>
        <v>94.535601384916461</v>
      </c>
      <c r="Z137" s="44"/>
      <c r="AA137" s="54">
        <v>73.3</v>
      </c>
      <c r="AB137" s="44"/>
      <c r="AC137" s="54">
        <f>S137/981*100</f>
        <v>64.016309887869511</v>
      </c>
      <c r="AD137" s="44"/>
    </row>
    <row r="138" spans="1:31" ht="10.7" customHeight="1">
      <c r="A138" s="35" t="s">
        <v>31</v>
      </c>
      <c r="B138" s="32"/>
      <c r="C138" s="34">
        <v>716</v>
      </c>
      <c r="D138" s="36">
        <f t="shared" si="25"/>
        <v>330.25830258302585</v>
      </c>
      <c r="E138" s="34">
        <v>330</v>
      </c>
      <c r="F138" s="32"/>
      <c r="G138" s="36">
        <v>2168</v>
      </c>
      <c r="H138" s="34">
        <v>7683</v>
      </c>
      <c r="I138" s="34"/>
      <c r="J138" s="34">
        <v>3544</v>
      </c>
      <c r="K138" s="34"/>
      <c r="L138" s="33">
        <f>H138/C138</f>
        <v>10.730446927374302</v>
      </c>
      <c r="M138" s="32"/>
      <c r="N138" s="34"/>
      <c r="O138" s="34">
        <v>1220</v>
      </c>
      <c r="P138" s="34"/>
      <c r="Q138" s="34">
        <v>1704</v>
      </c>
      <c r="R138" s="34"/>
      <c r="S138" s="34">
        <v>889</v>
      </c>
      <c r="T138" s="34"/>
      <c r="U138" s="34">
        <v>1242</v>
      </c>
      <c r="V138" s="32"/>
      <c r="W138" s="34">
        <f t="shared" si="26"/>
        <v>410.05535055350555</v>
      </c>
      <c r="X138" s="34"/>
      <c r="Y138" s="34">
        <f t="shared" si="27"/>
        <v>115.71000911102435</v>
      </c>
      <c r="Z138" s="32"/>
      <c r="AA138" s="33">
        <v>72.900000000000006</v>
      </c>
      <c r="AB138" s="32"/>
      <c r="AC138" s="33">
        <f>S138/1492*100</f>
        <v>59.584450402144775</v>
      </c>
      <c r="AD138" s="32"/>
    </row>
    <row r="139" spans="1:31" ht="10.7" customHeight="1">
      <c r="A139" s="35" t="s">
        <v>32</v>
      </c>
      <c r="B139" s="32"/>
      <c r="C139" s="34">
        <v>858</v>
      </c>
      <c r="D139" s="36">
        <f t="shared" si="25"/>
        <v>358.695652173913</v>
      </c>
      <c r="E139" s="34">
        <v>359</v>
      </c>
      <c r="F139" s="32"/>
      <c r="G139" s="36">
        <v>2392</v>
      </c>
      <c r="H139" s="34">
        <v>9042</v>
      </c>
      <c r="I139" s="34"/>
      <c r="J139" s="34">
        <v>3780</v>
      </c>
      <c r="K139" s="34"/>
      <c r="L139" s="33">
        <f>H139/C139</f>
        <v>10.538461538461538</v>
      </c>
      <c r="M139" s="32"/>
      <c r="N139" s="34"/>
      <c r="O139" s="34">
        <v>1688</v>
      </c>
      <c r="P139" s="34"/>
      <c r="Q139" s="34">
        <v>1967</v>
      </c>
      <c r="R139" s="34"/>
      <c r="S139" s="34">
        <v>1214</v>
      </c>
      <c r="T139" s="34"/>
      <c r="U139" s="34">
        <v>1415</v>
      </c>
      <c r="V139" s="32"/>
      <c r="W139" s="34">
        <f t="shared" si="26"/>
        <v>507.52508361204019</v>
      </c>
      <c r="X139" s="34"/>
      <c r="Y139" s="34">
        <f t="shared" si="27"/>
        <v>134.2623313426233</v>
      </c>
      <c r="Z139" s="32"/>
      <c r="AA139" s="33">
        <v>71.900000000000006</v>
      </c>
      <c r="AB139" s="32"/>
      <c r="AC139" s="33">
        <f>S139/1983*100</f>
        <v>61.220373171961675</v>
      </c>
      <c r="AD139" s="32"/>
    </row>
    <row r="140" spans="1:31" ht="10.7" customHeight="1">
      <c r="A140" s="35" t="s">
        <v>33</v>
      </c>
      <c r="B140" s="32"/>
      <c r="C140" s="34">
        <v>958</v>
      </c>
      <c r="D140" s="36">
        <f t="shared" si="25"/>
        <v>365.78846888125236</v>
      </c>
      <c r="E140" s="34">
        <v>366</v>
      </c>
      <c r="F140" s="32"/>
      <c r="G140" s="36">
        <v>2619</v>
      </c>
      <c r="H140" s="34">
        <v>9858</v>
      </c>
      <c r="I140" s="34"/>
      <c r="J140" s="34">
        <v>3764</v>
      </c>
      <c r="K140" s="34"/>
      <c r="L140" s="33">
        <f>H140/C140</f>
        <v>10.290187891440501</v>
      </c>
      <c r="M140" s="32"/>
      <c r="N140" s="34"/>
      <c r="O140" s="34">
        <v>2085</v>
      </c>
      <c r="P140" s="34"/>
      <c r="Q140" s="34">
        <v>2176</v>
      </c>
      <c r="R140" s="34"/>
      <c r="S140" s="34">
        <v>1489</v>
      </c>
      <c r="T140" s="34"/>
      <c r="U140" s="34">
        <v>1554</v>
      </c>
      <c r="V140" s="32"/>
      <c r="W140" s="34">
        <f t="shared" si="26"/>
        <v>568.53760977472325</v>
      </c>
      <c r="X140" s="34"/>
      <c r="Y140" s="34">
        <f t="shared" si="27"/>
        <v>151.04483668086831</v>
      </c>
      <c r="Z140" s="32"/>
      <c r="AA140" s="33">
        <v>71.400000000000006</v>
      </c>
      <c r="AB140" s="32"/>
      <c r="AC140" s="33">
        <f>S140/2462*100</f>
        <v>60.479285134037362</v>
      </c>
      <c r="AD140" s="32"/>
    </row>
    <row r="141" spans="1:31" ht="10.7" customHeight="1">
      <c r="A141" s="35" t="s">
        <v>34</v>
      </c>
      <c r="B141" s="32"/>
      <c r="C141" s="34">
        <v>1083</v>
      </c>
      <c r="D141" s="36">
        <f t="shared" si="25"/>
        <v>387.75510204081633</v>
      </c>
      <c r="E141" s="34">
        <v>388</v>
      </c>
      <c r="F141" s="32"/>
      <c r="G141" s="36">
        <v>2793</v>
      </c>
      <c r="H141" s="34">
        <v>10815</v>
      </c>
      <c r="I141" s="34"/>
      <c r="J141" s="34">
        <v>3872</v>
      </c>
      <c r="K141" s="34"/>
      <c r="L141" s="33">
        <f>H141/C141</f>
        <v>9.986149584487535</v>
      </c>
      <c r="M141" s="32"/>
      <c r="N141" s="34"/>
      <c r="O141" s="34">
        <v>2636</v>
      </c>
      <c r="P141" s="34"/>
      <c r="Q141" s="34">
        <v>2434</v>
      </c>
      <c r="R141" s="34"/>
      <c r="S141" s="34">
        <v>1826</v>
      </c>
      <c r="T141" s="34"/>
      <c r="U141" s="34">
        <v>1686</v>
      </c>
      <c r="V141" s="32"/>
      <c r="W141" s="34">
        <f t="shared" si="26"/>
        <v>653.77730039384176</v>
      </c>
      <c r="X141" s="34"/>
      <c r="Y141" s="34">
        <f t="shared" si="27"/>
        <v>168.83957466481738</v>
      </c>
      <c r="Z141" s="32"/>
      <c r="AA141" s="33">
        <v>69.3</v>
      </c>
      <c r="AB141" s="32"/>
      <c r="AC141" s="33">
        <f>S141/2964*100</f>
        <v>61.605937921727396</v>
      </c>
      <c r="AD141" s="32"/>
    </row>
    <row r="142" spans="1:31" ht="10.7" customHeight="1">
      <c r="A142" s="35" t="s">
        <v>35</v>
      </c>
      <c r="B142" s="32"/>
      <c r="C142" s="34">
        <v>1164</v>
      </c>
      <c r="D142" s="36">
        <f t="shared" si="25"/>
        <v>399.86259017519757</v>
      </c>
      <c r="E142" s="34">
        <v>400</v>
      </c>
      <c r="F142" s="32"/>
      <c r="G142" s="36">
        <v>2911</v>
      </c>
      <c r="H142" s="34">
        <v>11230</v>
      </c>
      <c r="I142" s="34"/>
      <c r="J142" s="34">
        <v>3858</v>
      </c>
      <c r="K142" s="34"/>
      <c r="L142" s="33">
        <v>10</v>
      </c>
      <c r="M142" s="32"/>
      <c r="N142" s="34"/>
      <c r="O142" s="34">
        <v>3182</v>
      </c>
      <c r="P142" s="34"/>
      <c r="Q142" s="34">
        <v>2734</v>
      </c>
      <c r="R142" s="34"/>
      <c r="S142" s="34">
        <v>2212</v>
      </c>
      <c r="T142" s="34"/>
      <c r="U142" s="34">
        <v>1900</v>
      </c>
      <c r="V142" s="32"/>
      <c r="W142" s="34">
        <f t="shared" si="26"/>
        <v>759.87633115767767</v>
      </c>
      <c r="X142" s="34"/>
      <c r="Y142" s="34">
        <f t="shared" si="27"/>
        <v>196.97239536954586</v>
      </c>
      <c r="Z142" s="32"/>
      <c r="AA142" s="33">
        <v>69.5</v>
      </c>
      <c r="AB142" s="32"/>
      <c r="AC142" s="33">
        <f>S142/3694*100</f>
        <v>59.88088792636708</v>
      </c>
      <c r="AD142" s="32"/>
    </row>
    <row r="143" spans="1:31" ht="10.7" customHeight="1">
      <c r="A143" s="35" t="s">
        <v>36</v>
      </c>
      <c r="B143" s="32"/>
      <c r="C143" s="34">
        <v>1228</v>
      </c>
      <c r="D143" s="36">
        <f t="shared" si="25"/>
        <v>414.44481943975705</v>
      </c>
      <c r="E143" s="34">
        <v>414</v>
      </c>
      <c r="F143" s="32"/>
      <c r="G143" s="36">
        <v>2963</v>
      </c>
      <c r="H143" s="34">
        <v>12403</v>
      </c>
      <c r="I143" s="34"/>
      <c r="J143" s="34">
        <v>4186</v>
      </c>
      <c r="K143" s="34"/>
      <c r="L143" s="33">
        <f>H143/C143</f>
        <v>10.100162866449512</v>
      </c>
      <c r="M143" s="32"/>
      <c r="N143" s="34"/>
      <c r="O143" s="34">
        <v>3878</v>
      </c>
      <c r="P143" s="34"/>
      <c r="Q143" s="34">
        <v>3158</v>
      </c>
      <c r="R143" s="34"/>
      <c r="S143" s="34">
        <v>2639</v>
      </c>
      <c r="T143" s="34"/>
      <c r="U143" s="34">
        <v>2149</v>
      </c>
      <c r="V143" s="32"/>
      <c r="W143" s="34">
        <f t="shared" si="26"/>
        <v>890.65136685791424</v>
      </c>
      <c r="X143" s="34"/>
      <c r="Y143" s="34">
        <f t="shared" si="27"/>
        <v>212.7711037652181</v>
      </c>
      <c r="Z143" s="32"/>
      <c r="AA143" s="33">
        <v>68.099999999999994</v>
      </c>
      <c r="AB143" s="32"/>
      <c r="AC143" s="33">
        <f>S143/4501*100</f>
        <v>58.631415241057539</v>
      </c>
      <c r="AD143" s="32"/>
    </row>
    <row r="144" spans="1:31" ht="10.7" customHeight="1">
      <c r="A144" s="35" t="s">
        <v>37</v>
      </c>
      <c r="B144" s="32"/>
      <c r="C144" s="34">
        <v>1260</v>
      </c>
      <c r="D144" s="36">
        <f t="shared" si="25"/>
        <v>420.14004668222742</v>
      </c>
      <c r="E144" s="34">
        <v>420</v>
      </c>
      <c r="F144" s="32"/>
      <c r="G144" s="36">
        <v>2999</v>
      </c>
      <c r="H144" s="34">
        <v>12583</v>
      </c>
      <c r="I144" s="34"/>
      <c r="J144" s="34">
        <v>4196</v>
      </c>
      <c r="K144" s="34"/>
      <c r="L144" s="33">
        <v>9.9</v>
      </c>
      <c r="M144" s="32"/>
      <c r="N144" s="34"/>
      <c r="O144" s="34">
        <v>4600</v>
      </c>
      <c r="P144" s="34"/>
      <c r="Q144" s="34">
        <v>3651</v>
      </c>
      <c r="R144" s="34"/>
      <c r="S144" s="34">
        <v>3122</v>
      </c>
      <c r="T144" s="34"/>
      <c r="U144" s="34">
        <v>2478</v>
      </c>
      <c r="V144" s="32"/>
      <c r="W144" s="34">
        <f t="shared" si="26"/>
        <v>1041.0136712237413</v>
      </c>
      <c r="X144" s="34"/>
      <c r="Y144" s="34">
        <f t="shared" si="27"/>
        <v>248.11253278232536</v>
      </c>
      <c r="Z144" s="32"/>
      <c r="AA144" s="33">
        <v>67.900000000000006</v>
      </c>
      <c r="AB144" s="32"/>
      <c r="AC144" s="33">
        <f>S144/5304*100</f>
        <v>58.861236802413273</v>
      </c>
      <c r="AD144" s="32"/>
    </row>
    <row r="145" spans="1:30" ht="10.7" customHeight="1">
      <c r="A145" s="35" t="s">
        <v>38</v>
      </c>
      <c r="B145" s="32"/>
      <c r="C145" s="34">
        <v>1292</v>
      </c>
      <c r="D145" s="36">
        <f t="shared" si="25"/>
        <v>437.37305348679757</v>
      </c>
      <c r="E145" s="34">
        <v>437</v>
      </c>
      <c r="F145" s="32"/>
      <c r="G145" s="36">
        <v>2954</v>
      </c>
      <c r="H145" s="34">
        <v>12616</v>
      </c>
      <c r="I145" s="34"/>
      <c r="J145" s="34">
        <v>4271</v>
      </c>
      <c r="K145" s="34"/>
      <c r="L145" s="33">
        <v>9.8000000000000007</v>
      </c>
      <c r="M145" s="32"/>
      <c r="N145" s="34"/>
      <c r="O145" s="34">
        <v>5494</v>
      </c>
      <c r="P145" s="34"/>
      <c r="Q145" s="34">
        <v>4252</v>
      </c>
      <c r="R145" s="34"/>
      <c r="S145" s="34">
        <v>3593</v>
      </c>
      <c r="T145" s="34"/>
      <c r="U145" s="34">
        <v>2781</v>
      </c>
      <c r="V145" s="32"/>
      <c r="W145" s="34">
        <f t="shared" si="26"/>
        <v>1216.3168584969533</v>
      </c>
      <c r="X145" s="34"/>
      <c r="Y145" s="34">
        <f t="shared" si="27"/>
        <v>284.79708306911863</v>
      </c>
      <c r="Z145" s="32"/>
      <c r="AA145" s="33">
        <v>65.400000000000006</v>
      </c>
      <c r="AB145" s="32"/>
      <c r="AC145" s="33">
        <f>S145/6347*100</f>
        <v>56.60942177406649</v>
      </c>
      <c r="AD145" s="32"/>
    </row>
    <row r="146" spans="1:30" ht="10.7" customHeight="1">
      <c r="A146" s="35" t="s">
        <v>39</v>
      </c>
      <c r="B146" s="32"/>
      <c r="C146" s="34">
        <v>1284</v>
      </c>
      <c r="D146" s="36">
        <f t="shared" si="25"/>
        <v>440.02741603838246</v>
      </c>
      <c r="E146" s="34">
        <v>440</v>
      </c>
      <c r="F146" s="32"/>
      <c r="G146" s="36">
        <v>2918</v>
      </c>
      <c r="H146" s="34">
        <v>12272</v>
      </c>
      <c r="I146" s="34"/>
      <c r="J146" s="34">
        <v>4206</v>
      </c>
      <c r="K146" s="34"/>
      <c r="L146" s="33">
        <v>9.6</v>
      </c>
      <c r="M146" s="32"/>
      <c r="N146" s="34"/>
      <c r="O146" s="34">
        <v>6276</v>
      </c>
      <c r="P146" s="34"/>
      <c r="Q146" s="34">
        <v>4887</v>
      </c>
      <c r="R146" s="34"/>
      <c r="S146" s="34">
        <v>3940</v>
      </c>
      <c r="T146" s="34"/>
      <c r="U146" s="34">
        <v>3068</v>
      </c>
      <c r="V146" s="32"/>
      <c r="W146" s="34">
        <f t="shared" si="26"/>
        <v>1350.2398903358467</v>
      </c>
      <c r="X146" s="34"/>
      <c r="Y146" s="34">
        <f t="shared" si="27"/>
        <v>321.05606258148634</v>
      </c>
      <c r="Z146" s="32"/>
      <c r="AA146" s="33">
        <v>62.8</v>
      </c>
      <c r="AB146" s="32"/>
      <c r="AC146" s="33">
        <f>S146/6711*100</f>
        <v>58.709581284458359</v>
      </c>
      <c r="AD146" s="32"/>
    </row>
    <row r="147" spans="1:30" ht="10.7" customHeight="1">
      <c r="A147" s="35" t="s">
        <v>40</v>
      </c>
      <c r="B147" s="32"/>
      <c r="C147" s="34">
        <v>1191</v>
      </c>
      <c r="D147" s="36">
        <f t="shared" si="25"/>
        <v>412.96809986130376</v>
      </c>
      <c r="E147" s="34">
        <v>413</v>
      </c>
      <c r="F147" s="32"/>
      <c r="G147" s="36">
        <v>2884</v>
      </c>
      <c r="H147" s="34">
        <v>10423</v>
      </c>
      <c r="I147" s="34"/>
      <c r="J147" s="34">
        <v>3614</v>
      </c>
      <c r="K147" s="34"/>
      <c r="L147" s="33">
        <v>8.8000000000000007</v>
      </c>
      <c r="M147" s="32"/>
      <c r="N147" s="34"/>
      <c r="O147" s="34">
        <v>5937</v>
      </c>
      <c r="P147" s="34"/>
      <c r="Q147" s="34">
        <v>4987</v>
      </c>
      <c r="R147" s="34"/>
      <c r="S147" s="34">
        <v>4312</v>
      </c>
      <c r="T147" s="34"/>
      <c r="U147" s="34">
        <v>3621</v>
      </c>
      <c r="V147" s="32"/>
      <c r="W147" s="34">
        <f t="shared" si="26"/>
        <v>1495.1456310679612</v>
      </c>
      <c r="X147" s="34"/>
      <c r="Y147" s="34">
        <f t="shared" si="27"/>
        <v>413.70047011417063</v>
      </c>
      <c r="Z147" s="32"/>
      <c r="AA147" s="33">
        <v>72.599999999999994</v>
      </c>
      <c r="AB147" s="32"/>
      <c r="AC147" s="33">
        <f>S147/7014*100</f>
        <v>61.477045908183634</v>
      </c>
      <c r="AD147" s="32"/>
    </row>
    <row r="148" spans="1:30" ht="10.7" customHeight="1">
      <c r="A148" s="35" t="s">
        <v>41</v>
      </c>
      <c r="B148" s="32"/>
      <c r="C148" s="34">
        <v>1109</v>
      </c>
      <c r="D148" s="36">
        <f t="shared" si="25"/>
        <v>381.49294805641551</v>
      </c>
      <c r="E148" s="34">
        <v>381</v>
      </c>
      <c r="F148" s="32"/>
      <c r="G148" s="36">
        <v>2907</v>
      </c>
      <c r="H148" s="34">
        <v>9413</v>
      </c>
      <c r="I148" s="36">
        <f>H148/G148*1000</f>
        <v>3238.0460956312349</v>
      </c>
      <c r="J148" s="34">
        <v>3238</v>
      </c>
      <c r="K148" s="34"/>
      <c r="L148" s="33">
        <v>8.5</v>
      </c>
      <c r="M148" s="32"/>
      <c r="N148" s="34"/>
      <c r="O148" s="34">
        <v>6026</v>
      </c>
      <c r="P148" s="34"/>
      <c r="Q148" s="34">
        <v>5435</v>
      </c>
      <c r="R148" s="34"/>
      <c r="S148" s="34">
        <v>4462</v>
      </c>
      <c r="T148" s="34"/>
      <c r="U148" s="34">
        <v>4023</v>
      </c>
      <c r="V148" s="32"/>
      <c r="W148" s="34">
        <f t="shared" si="26"/>
        <v>1534.9157206742345</v>
      </c>
      <c r="X148" s="34"/>
      <c r="Y148" s="34">
        <f t="shared" si="27"/>
        <v>474.02528418145118</v>
      </c>
      <c r="Z148" s="32"/>
      <c r="AA148" s="33">
        <v>73.900000000000006</v>
      </c>
      <c r="AB148" s="32"/>
      <c r="AC148" s="33">
        <f>S148/7449*100</f>
        <v>59.900657806416966</v>
      </c>
      <c r="AD148" s="32"/>
    </row>
    <row r="149" spans="1:30" ht="10.7" customHeight="1">
      <c r="A149" s="35" t="s">
        <v>42</v>
      </c>
      <c r="B149" s="32"/>
      <c r="C149" s="34">
        <v>1127</v>
      </c>
      <c r="D149" s="36">
        <f t="shared" si="25"/>
        <v>380.87191618790132</v>
      </c>
      <c r="E149" s="34">
        <v>381</v>
      </c>
      <c r="F149" s="32"/>
      <c r="G149" s="36">
        <v>2959</v>
      </c>
      <c r="H149" s="34">
        <v>9670</v>
      </c>
      <c r="I149" s="34"/>
      <c r="J149" s="34">
        <v>3269</v>
      </c>
      <c r="K149" s="34"/>
      <c r="L149" s="33">
        <v>8.6</v>
      </c>
      <c r="M149" s="32"/>
      <c r="N149" s="34"/>
      <c r="O149" s="34">
        <v>6752</v>
      </c>
      <c r="P149" s="34"/>
      <c r="Q149" s="34">
        <v>5991</v>
      </c>
      <c r="R149" s="34"/>
      <c r="S149" s="34">
        <v>4751</v>
      </c>
      <c r="T149" s="34"/>
      <c r="U149" s="34">
        <v>4216</v>
      </c>
      <c r="V149" s="32"/>
      <c r="W149" s="34">
        <f t="shared" si="26"/>
        <v>1605.6100033795201</v>
      </c>
      <c r="X149" s="34"/>
      <c r="Y149" s="34">
        <f t="shared" si="27"/>
        <v>491.31334022750775</v>
      </c>
      <c r="Z149" s="32"/>
      <c r="AA149" s="33">
        <v>70.400000000000006</v>
      </c>
      <c r="AB149" s="32"/>
      <c r="AC149" s="33">
        <f>S149/8053*100</f>
        <v>58.996647212219045</v>
      </c>
      <c r="AD149" s="32"/>
    </row>
    <row r="150" spans="1:30" ht="10.7" customHeight="1">
      <c r="A150" s="35" t="s">
        <v>43</v>
      </c>
      <c r="B150" s="32"/>
      <c r="C150" s="34">
        <v>1109</v>
      </c>
      <c r="D150" s="36">
        <f t="shared" si="25"/>
        <v>365.88584625536123</v>
      </c>
      <c r="E150" s="34">
        <v>366</v>
      </c>
      <c r="F150" s="32"/>
      <c r="G150" s="36">
        <v>3031</v>
      </c>
      <c r="H150" s="34">
        <v>9847</v>
      </c>
      <c r="I150" s="34"/>
      <c r="J150" s="34">
        <v>3249</v>
      </c>
      <c r="K150" s="34"/>
      <c r="L150" s="33">
        <v>8.9</v>
      </c>
      <c r="M150" s="32"/>
      <c r="N150" s="34"/>
      <c r="O150" s="34">
        <v>7590</v>
      </c>
      <c r="P150" s="34"/>
      <c r="Q150" s="34">
        <v>6843</v>
      </c>
      <c r="R150" s="34"/>
      <c r="S150" s="34">
        <v>4718</v>
      </c>
      <c r="T150" s="34"/>
      <c r="U150" s="34">
        <v>4254</v>
      </c>
      <c r="V150" s="32"/>
      <c r="W150" s="34">
        <f t="shared" si="26"/>
        <v>1556.5819861431871</v>
      </c>
      <c r="X150" s="34"/>
      <c r="Y150" s="34">
        <f t="shared" si="27"/>
        <v>479.13069970549407</v>
      </c>
      <c r="Z150" s="32"/>
      <c r="AA150" s="33">
        <v>62.2</v>
      </c>
      <c r="AB150" s="32"/>
      <c r="AC150" s="33">
        <f>S150/8719*100</f>
        <v>54.111710058492946</v>
      </c>
      <c r="AD150" s="32"/>
    </row>
    <row r="151" spans="1:30" ht="10.7" customHeight="1">
      <c r="A151" s="35" t="s">
        <v>46</v>
      </c>
      <c r="B151" s="32"/>
      <c r="C151" s="34">
        <v>1111</v>
      </c>
      <c r="D151" s="36">
        <f t="shared" si="25"/>
        <v>358.2715253144147</v>
      </c>
      <c r="E151" s="34">
        <v>358</v>
      </c>
      <c r="F151" s="32"/>
      <c r="G151" s="36">
        <v>3101</v>
      </c>
      <c r="H151" s="34">
        <v>9936</v>
      </c>
      <c r="I151" s="34"/>
      <c r="J151" s="34">
        <v>3203</v>
      </c>
      <c r="K151" s="34"/>
      <c r="L151" s="33">
        <v>8.9</v>
      </c>
      <c r="M151" s="32"/>
      <c r="N151" s="34"/>
      <c r="O151" s="34">
        <v>8617</v>
      </c>
      <c r="P151" s="34"/>
      <c r="Q151" s="34">
        <v>7759</v>
      </c>
      <c r="R151" s="34"/>
      <c r="S151" s="34">
        <v>4961</v>
      </c>
      <c r="T151" s="34"/>
      <c r="U151" s="34">
        <v>4468</v>
      </c>
      <c r="V151" s="32"/>
      <c r="W151" s="34">
        <f t="shared" si="26"/>
        <v>1599.8065140277329</v>
      </c>
      <c r="X151" s="34"/>
      <c r="Y151" s="34">
        <f t="shared" si="27"/>
        <v>499.29549114331724</v>
      </c>
      <c r="Z151" s="32"/>
      <c r="AA151" s="33">
        <v>57.6</v>
      </c>
      <c r="AB151" s="32"/>
      <c r="AC151" s="33">
        <f>S151/9217*100</f>
        <v>53.82445481176088</v>
      </c>
      <c r="AD151" s="32"/>
    </row>
    <row r="152" spans="1:30" ht="10.7" customHeight="1">
      <c r="A152" s="35" t="s">
        <v>53</v>
      </c>
      <c r="B152" s="32"/>
      <c r="C152" s="34">
        <v>1122</v>
      </c>
      <c r="D152" s="36">
        <f t="shared" si="25"/>
        <v>353.83159886471145</v>
      </c>
      <c r="E152" s="34">
        <v>354</v>
      </c>
      <c r="F152" s="32"/>
      <c r="G152" s="36">
        <v>3171</v>
      </c>
      <c r="H152" s="34">
        <v>10118</v>
      </c>
      <c r="I152" s="34"/>
      <c r="J152" s="34">
        <v>3191</v>
      </c>
      <c r="K152" s="34"/>
      <c r="L152" s="33">
        <v>9</v>
      </c>
      <c r="M152" s="32"/>
      <c r="N152" s="34"/>
      <c r="O152" s="34">
        <v>9834</v>
      </c>
      <c r="P152" s="34"/>
      <c r="Q152" s="34">
        <v>8764</v>
      </c>
      <c r="R152" s="34"/>
      <c r="S152" s="34">
        <v>5344</v>
      </c>
      <c r="T152" s="34"/>
      <c r="U152" s="34">
        <v>4763</v>
      </c>
      <c r="V152" s="32"/>
      <c r="W152" s="34">
        <f t="shared" si="26"/>
        <v>1685.2727846105329</v>
      </c>
      <c r="X152" s="34"/>
      <c r="Y152" s="34">
        <f t="shared" si="27"/>
        <v>528.16762205969553</v>
      </c>
      <c r="Z152" s="32"/>
      <c r="AA152" s="33">
        <v>54.3</v>
      </c>
      <c r="AB152" s="32"/>
      <c r="AC152" s="33">
        <f>S152/11087*100</f>
        <v>48.200595291783173</v>
      </c>
      <c r="AD152" s="32"/>
    </row>
    <row r="153" spans="1:30" ht="10.7" customHeight="1">
      <c r="A153" s="35">
        <v>1990</v>
      </c>
      <c r="B153" s="32"/>
      <c r="C153" s="34">
        <v>1171</v>
      </c>
      <c r="D153" s="36">
        <f t="shared" si="25"/>
        <v>361.19679210363978</v>
      </c>
      <c r="E153" s="34">
        <v>360</v>
      </c>
      <c r="F153" s="32"/>
      <c r="G153" s="36">
        <v>3242</v>
      </c>
      <c r="H153" s="34">
        <v>10556</v>
      </c>
      <c r="I153" s="34"/>
      <c r="J153" s="34">
        <v>3245</v>
      </c>
      <c r="K153" s="34"/>
      <c r="L153" s="33">
        <f t="shared" ref="L153:L160" si="28">H153/C153</f>
        <v>9.0145175064047827</v>
      </c>
      <c r="M153" s="32"/>
      <c r="N153" s="34"/>
      <c r="O153" s="34">
        <v>11596</v>
      </c>
      <c r="P153" s="34"/>
      <c r="Q153" s="34">
        <v>9904</v>
      </c>
      <c r="R153" s="34"/>
      <c r="S153" s="34">
        <v>5866</v>
      </c>
      <c r="T153" s="34"/>
      <c r="U153" s="34">
        <v>5371</v>
      </c>
      <c r="V153" s="32"/>
      <c r="W153" s="34">
        <f t="shared" si="26"/>
        <v>1809.3769278223319</v>
      </c>
      <c r="X153" s="34"/>
      <c r="Y153" s="34">
        <f t="shared" si="27"/>
        <v>555.70291777188334</v>
      </c>
      <c r="Z153" s="32"/>
      <c r="AA153" s="33">
        <f t="shared" ref="AA153:AA163" si="29">S153/O153*100</f>
        <v>50.586409106588484</v>
      </c>
      <c r="AB153" s="32"/>
      <c r="AC153" s="33">
        <f>S153/11799*100</f>
        <v>49.716077633697772</v>
      </c>
      <c r="AD153" s="32"/>
    </row>
    <row r="154" spans="1:30" ht="10.7" customHeight="1">
      <c r="A154" s="35" t="s">
        <v>54</v>
      </c>
      <c r="B154" s="32"/>
      <c r="C154" s="34">
        <v>1227</v>
      </c>
      <c r="D154" s="36"/>
      <c r="E154" s="34">
        <v>362</v>
      </c>
      <c r="F154" s="32"/>
      <c r="G154" s="36">
        <v>3385</v>
      </c>
      <c r="H154" s="34">
        <v>10941</v>
      </c>
      <c r="I154" s="34"/>
      <c r="J154" s="34">
        <v>3230</v>
      </c>
      <c r="K154" s="33"/>
      <c r="L154" s="33">
        <f t="shared" si="28"/>
        <v>8.9168704156479226</v>
      </c>
      <c r="M154" s="32"/>
      <c r="N154" s="34"/>
      <c r="O154" s="34">
        <v>13746</v>
      </c>
      <c r="P154" s="34"/>
      <c r="Q154" s="34">
        <v>11206</v>
      </c>
      <c r="R154" s="34"/>
      <c r="S154" s="34">
        <v>6473</v>
      </c>
      <c r="T154" s="36"/>
      <c r="U154" s="34">
        <v>5680</v>
      </c>
      <c r="V154" s="32"/>
      <c r="W154" s="34">
        <f t="shared" si="26"/>
        <v>1912.2599704579025</v>
      </c>
      <c r="X154" s="34"/>
      <c r="Y154" s="34">
        <f t="shared" si="27"/>
        <v>591.62782195411751</v>
      </c>
      <c r="Z154" s="34"/>
      <c r="AA154" s="33">
        <f t="shared" si="29"/>
        <v>47.090062563654882</v>
      </c>
      <c r="AB154" s="32"/>
      <c r="AC154" s="33">
        <f>S154/12828*100</f>
        <v>50.459931400062366</v>
      </c>
      <c r="AD154" s="32"/>
    </row>
    <row r="155" spans="1:30" ht="10.7" customHeight="1">
      <c r="A155" s="35" t="s">
        <v>55</v>
      </c>
      <c r="B155" s="32"/>
      <c r="C155" s="34">
        <v>1294</v>
      </c>
      <c r="D155" s="34"/>
      <c r="E155" s="34">
        <v>362</v>
      </c>
      <c r="F155" s="32"/>
      <c r="G155" s="36">
        <v>3578</v>
      </c>
      <c r="H155" s="34">
        <v>11173</v>
      </c>
      <c r="I155" s="34"/>
      <c r="J155" s="34">
        <v>3122</v>
      </c>
      <c r="K155" s="33"/>
      <c r="L155" s="33">
        <f t="shared" si="28"/>
        <v>8.6344667697063375</v>
      </c>
      <c r="M155" s="32"/>
      <c r="N155" s="34"/>
      <c r="O155" s="34">
        <v>15661</v>
      </c>
      <c r="P155" s="34"/>
      <c r="Q155" s="34">
        <v>12101</v>
      </c>
      <c r="R155" s="34"/>
      <c r="S155" s="34">
        <v>7316</v>
      </c>
      <c r="T155" s="34"/>
      <c r="U155" s="34">
        <v>6051</v>
      </c>
      <c r="V155" s="32"/>
      <c r="W155" s="34">
        <v>2086</v>
      </c>
      <c r="X155" s="34"/>
      <c r="Y155" s="34">
        <v>665</v>
      </c>
      <c r="Z155" s="34"/>
      <c r="AA155" s="33">
        <f t="shared" si="29"/>
        <v>46.71476917182811</v>
      </c>
      <c r="AB155" s="32"/>
      <c r="AC155" s="33">
        <f>S155/14469*100</f>
        <v>50.563273204782647</v>
      </c>
      <c r="AD155" s="32"/>
    </row>
    <row r="156" spans="1:30" ht="10.7" customHeight="1">
      <c r="A156" s="35" t="s">
        <v>56</v>
      </c>
      <c r="B156" s="32"/>
      <c r="C156" s="34">
        <v>1352</v>
      </c>
      <c r="D156" s="34"/>
      <c r="E156" s="34">
        <v>350</v>
      </c>
      <c r="F156" s="34"/>
      <c r="G156" s="36">
        <v>3862</v>
      </c>
      <c r="H156" s="34">
        <v>11165</v>
      </c>
      <c r="I156" s="34"/>
      <c r="J156" s="34">
        <v>2891</v>
      </c>
      <c r="K156" s="34"/>
      <c r="L156" s="33">
        <f t="shared" si="28"/>
        <v>8.2581360946745566</v>
      </c>
      <c r="M156" s="34"/>
      <c r="N156" s="34"/>
      <c r="O156" s="34">
        <v>17292</v>
      </c>
      <c r="P156" s="34"/>
      <c r="Q156" s="34">
        <v>12794</v>
      </c>
      <c r="R156" s="34"/>
      <c r="S156" s="34">
        <v>7978</v>
      </c>
      <c r="T156" s="34"/>
      <c r="U156" s="34">
        <v>6294</v>
      </c>
      <c r="V156" s="34"/>
      <c r="W156" s="34">
        <v>2107</v>
      </c>
      <c r="X156" s="34"/>
      <c r="Y156" s="34">
        <v>726</v>
      </c>
      <c r="Z156" s="34"/>
      <c r="AA156" s="33">
        <f t="shared" si="29"/>
        <v>46.136941938468659</v>
      </c>
      <c r="AB156" s="32"/>
      <c r="AC156" s="33">
        <f>S156/15894*100</f>
        <v>50.195042154272052</v>
      </c>
      <c r="AD156" s="34"/>
    </row>
    <row r="157" spans="1:30" ht="10.7" customHeight="1">
      <c r="A157" s="35" t="s">
        <v>70</v>
      </c>
      <c r="B157" s="32"/>
      <c r="C157" s="34">
        <v>1480</v>
      </c>
      <c r="D157" s="34"/>
      <c r="E157" s="34">
        <v>367</v>
      </c>
      <c r="F157" s="34"/>
      <c r="G157" s="34"/>
      <c r="H157" s="34">
        <v>11465</v>
      </c>
      <c r="I157" s="34"/>
      <c r="J157" s="34">
        <v>2846</v>
      </c>
      <c r="K157" s="34"/>
      <c r="L157" s="33">
        <f t="shared" si="28"/>
        <v>7.7466216216216219</v>
      </c>
      <c r="M157" s="34"/>
      <c r="N157" s="34"/>
      <c r="O157" s="34">
        <v>19193</v>
      </c>
      <c r="P157" s="34"/>
      <c r="Q157" s="34">
        <v>12971</v>
      </c>
      <c r="R157" s="34"/>
      <c r="S157" s="34">
        <v>8933</v>
      </c>
      <c r="T157" s="34"/>
      <c r="U157" s="34">
        <v>6390</v>
      </c>
      <c r="V157" s="34"/>
      <c r="W157" s="34">
        <f>(S157/4028)*1000</f>
        <v>2217.72591857001</v>
      </c>
      <c r="X157" s="34"/>
      <c r="Y157" s="34">
        <v>776</v>
      </c>
      <c r="Z157" s="34"/>
      <c r="AA157" s="33">
        <f t="shared" si="29"/>
        <v>46.543010472568128</v>
      </c>
      <c r="AB157" s="34"/>
      <c r="AC157" s="33">
        <f>S157/18835*100</f>
        <v>47.427661268914257</v>
      </c>
      <c r="AD157" s="34"/>
    </row>
    <row r="158" spans="1:30" ht="10.7" customHeight="1">
      <c r="A158" s="35" t="s">
        <v>71</v>
      </c>
      <c r="B158" s="32"/>
      <c r="C158" s="34">
        <v>1556</v>
      </c>
      <c r="D158" s="34"/>
      <c r="E158" s="34">
        <v>367</v>
      </c>
      <c r="F158" s="34"/>
      <c r="G158" s="32"/>
      <c r="H158" s="34">
        <v>11214</v>
      </c>
      <c r="I158" s="34"/>
      <c r="J158" s="34">
        <v>2646</v>
      </c>
      <c r="K158" s="34"/>
      <c r="L158" s="33">
        <f t="shared" si="28"/>
        <v>7.2069408740359897</v>
      </c>
      <c r="M158" s="34"/>
      <c r="N158" s="34"/>
      <c r="O158" s="34">
        <v>20182</v>
      </c>
      <c r="P158" s="34"/>
      <c r="Q158" s="34">
        <v>12968</v>
      </c>
      <c r="R158" s="34"/>
      <c r="S158" s="34">
        <v>9849</v>
      </c>
      <c r="T158" s="34"/>
      <c r="U158" s="34">
        <v>6655</v>
      </c>
      <c r="V158" s="34"/>
      <c r="W158" s="34">
        <f>(S158/4238)*1000</f>
        <v>2323.9735724398301</v>
      </c>
      <c r="X158" s="34"/>
      <c r="Y158" s="34">
        <f t="shared" ref="Y158:Y163" si="30">S158/H158*1000</f>
        <v>878.27715355805242</v>
      </c>
      <c r="Z158" s="32"/>
      <c r="AA158" s="33">
        <f t="shared" si="29"/>
        <v>48.800911703498166</v>
      </c>
      <c r="AB158" s="32"/>
      <c r="AC158" s="33">
        <f>S158/21029*100</f>
        <v>46.835322649674261</v>
      </c>
      <c r="AD158" s="34"/>
    </row>
    <row r="159" spans="1:30" ht="10.7" customHeight="1">
      <c r="A159" s="35" t="s">
        <v>72</v>
      </c>
      <c r="B159" s="32"/>
      <c r="C159" s="34">
        <v>1621</v>
      </c>
      <c r="D159" s="34"/>
      <c r="E159" s="34">
        <v>367</v>
      </c>
      <c r="F159" s="34"/>
      <c r="G159" s="34"/>
      <c r="H159" s="34">
        <v>11051</v>
      </c>
      <c r="I159" s="34"/>
      <c r="J159" s="34">
        <v>2505</v>
      </c>
      <c r="K159" s="34"/>
      <c r="L159" s="33">
        <f t="shared" si="28"/>
        <v>6.8173966687230108</v>
      </c>
      <c r="M159" s="34"/>
      <c r="N159" s="34"/>
      <c r="O159" s="34">
        <v>21181</v>
      </c>
      <c r="P159" s="34"/>
      <c r="Q159" s="34">
        <v>13067</v>
      </c>
      <c r="R159" s="34"/>
      <c r="S159" s="34">
        <v>10686</v>
      </c>
      <c r="T159" s="34"/>
      <c r="U159" s="34">
        <v>6901</v>
      </c>
      <c r="V159" s="34"/>
      <c r="W159" s="34">
        <f>(S159/4412)*1000</f>
        <v>2422.0308250226658</v>
      </c>
      <c r="X159" s="34"/>
      <c r="Y159" s="34">
        <f t="shared" si="30"/>
        <v>966.97131481313909</v>
      </c>
      <c r="Z159" s="32"/>
      <c r="AA159" s="33">
        <f t="shared" si="29"/>
        <v>50.450875784901562</v>
      </c>
      <c r="AB159" s="32"/>
      <c r="AC159" s="33">
        <f>S159/22577*100</f>
        <v>47.331354918722596</v>
      </c>
      <c r="AD159" s="34"/>
    </row>
    <row r="160" spans="1:30" ht="10.7" customHeight="1">
      <c r="A160" s="35" t="s">
        <v>60</v>
      </c>
      <c r="B160" s="32"/>
      <c r="C160" s="34">
        <v>1654</v>
      </c>
      <c r="D160" s="34"/>
      <c r="E160" s="34">
        <v>368</v>
      </c>
      <c r="F160" s="34"/>
      <c r="G160" s="34"/>
      <c r="H160" s="34">
        <v>10845</v>
      </c>
      <c r="I160" s="34"/>
      <c r="J160" s="34">
        <v>2411</v>
      </c>
      <c r="K160" s="34"/>
      <c r="L160" s="33">
        <f t="shared" si="28"/>
        <v>6.5568319226118499</v>
      </c>
      <c r="M160" s="34"/>
      <c r="N160" s="34"/>
      <c r="O160" s="34">
        <v>22508</v>
      </c>
      <c r="P160" s="34"/>
      <c r="Q160" s="34">
        <v>13609</v>
      </c>
      <c r="R160" s="34"/>
      <c r="S160" s="34">
        <v>11178</v>
      </c>
      <c r="T160" s="34"/>
      <c r="U160" s="34">
        <v>7084</v>
      </c>
      <c r="V160" s="34"/>
      <c r="W160" s="34">
        <f>(S160/4498)*1000</f>
        <v>2485.104490884838</v>
      </c>
      <c r="X160" s="34"/>
      <c r="Y160" s="34">
        <f t="shared" si="30"/>
        <v>1030.7053941908712</v>
      </c>
      <c r="Z160" s="32"/>
      <c r="AA160" s="33">
        <f t="shared" si="29"/>
        <v>49.662342278301047</v>
      </c>
      <c r="AB160" s="32"/>
      <c r="AC160" s="33">
        <f>S160/23768*100</f>
        <v>47.029619656681255</v>
      </c>
      <c r="AD160" s="34"/>
    </row>
    <row r="161" spans="1:30" ht="10.7" customHeight="1">
      <c r="A161" s="35" t="s">
        <v>61</v>
      </c>
      <c r="B161" s="32"/>
      <c r="C161" s="34">
        <v>1673</v>
      </c>
      <c r="D161" s="34"/>
      <c r="E161" s="34">
        <v>362</v>
      </c>
      <c r="F161" s="34"/>
      <c r="G161" s="34"/>
      <c r="H161" s="34">
        <v>10769</v>
      </c>
      <c r="I161" s="34"/>
      <c r="J161" s="34">
        <v>2333</v>
      </c>
      <c r="K161" s="34"/>
      <c r="L161" s="33">
        <f t="shared" ref="L161:L166" si="31">H161/C161</f>
        <v>6.4369396294082488</v>
      </c>
      <c r="M161" s="34"/>
      <c r="N161" s="34"/>
      <c r="O161" s="34">
        <v>23803</v>
      </c>
      <c r="P161" s="34"/>
      <c r="Q161" s="34">
        <v>14231</v>
      </c>
      <c r="R161" s="34"/>
      <c r="S161" s="34">
        <v>11160</v>
      </c>
      <c r="T161" s="34"/>
      <c r="U161" s="34">
        <v>7012</v>
      </c>
      <c r="V161" s="34"/>
      <c r="W161" s="34">
        <f>(S161/4616)*1000</f>
        <v>2417.6776429809361</v>
      </c>
      <c r="X161" s="34"/>
      <c r="Y161" s="34">
        <f t="shared" si="30"/>
        <v>1036.3079208840188</v>
      </c>
      <c r="Z161" s="32"/>
      <c r="AA161" s="33">
        <f t="shared" si="29"/>
        <v>46.884846447926734</v>
      </c>
      <c r="AB161" s="32"/>
      <c r="AC161" s="33">
        <f>S161/23746*100</f>
        <v>46.997389033942561</v>
      </c>
      <c r="AD161" s="34"/>
    </row>
    <row r="162" spans="1:30" ht="10.7" customHeight="1">
      <c r="A162" s="35" t="s">
        <v>62</v>
      </c>
      <c r="B162" s="32"/>
      <c r="C162" s="34">
        <v>1732</v>
      </c>
      <c r="D162" s="34"/>
      <c r="E162" s="34">
        <v>365</v>
      </c>
      <c r="F162" s="34"/>
      <c r="G162" s="34"/>
      <c r="H162" s="34">
        <v>10931</v>
      </c>
      <c r="I162" s="34"/>
      <c r="J162" s="34">
        <v>2306</v>
      </c>
      <c r="K162" s="34"/>
      <c r="L162" s="33">
        <f t="shared" si="31"/>
        <v>6.3112009237875286</v>
      </c>
      <c r="M162" s="34"/>
      <c r="N162" s="34"/>
      <c r="O162" s="34">
        <v>26106</v>
      </c>
      <c r="P162" s="34"/>
      <c r="Q162" s="34">
        <v>15074</v>
      </c>
      <c r="R162" s="34"/>
      <c r="S162" s="34">
        <v>11425</v>
      </c>
      <c r="T162" s="34"/>
      <c r="U162" s="34">
        <v>6933</v>
      </c>
      <c r="V162" s="34"/>
      <c r="W162" s="34">
        <f>(S162/4741)*1000</f>
        <v>2409.829149968361</v>
      </c>
      <c r="X162" s="34"/>
      <c r="Y162" s="34">
        <f t="shared" si="30"/>
        <v>1045.1925715853993</v>
      </c>
      <c r="Z162" s="32"/>
      <c r="AA162" s="33">
        <f>S162/O162*100</f>
        <v>43.763885696774693</v>
      </c>
      <c r="AB162" s="32"/>
      <c r="AC162" s="33">
        <f>S162/24262*100</f>
        <v>47.090099744456353</v>
      </c>
      <c r="AD162" s="34"/>
    </row>
    <row r="163" spans="1:30" ht="10.7" customHeight="1">
      <c r="A163" s="35" t="s">
        <v>63</v>
      </c>
      <c r="B163" s="32"/>
      <c r="C163" s="34">
        <v>1807</v>
      </c>
      <c r="D163" s="34"/>
      <c r="E163" s="34">
        <v>368</v>
      </c>
      <c r="F163" s="34"/>
      <c r="G163" s="34"/>
      <c r="H163" s="34">
        <v>11328</v>
      </c>
      <c r="I163" s="34"/>
      <c r="J163" s="34">
        <v>2309</v>
      </c>
      <c r="K163" s="34"/>
      <c r="L163" s="33">
        <f t="shared" si="31"/>
        <v>6.2689540675152182</v>
      </c>
      <c r="M163" s="34"/>
      <c r="N163" s="34"/>
      <c r="O163" s="34">
        <v>30053</v>
      </c>
      <c r="P163" s="34"/>
      <c r="Q163" s="34">
        <v>16629</v>
      </c>
      <c r="R163" s="34"/>
      <c r="S163" s="34">
        <v>12143</v>
      </c>
      <c r="T163" s="34"/>
      <c r="U163" s="34">
        <v>6835</v>
      </c>
      <c r="V163" s="34"/>
      <c r="W163" s="34">
        <f>(S163/4907)*1000</f>
        <v>2474.6280823313637</v>
      </c>
      <c r="X163" s="34"/>
      <c r="Y163" s="34">
        <f t="shared" si="30"/>
        <v>1071.9456214689264</v>
      </c>
      <c r="Z163" s="32"/>
      <c r="AA163" s="33">
        <f t="shared" si="29"/>
        <v>40.405283998269724</v>
      </c>
      <c r="AB163" s="32"/>
      <c r="AC163" s="33">
        <f>S163/25773*100</f>
        <v>47.115198075505369</v>
      </c>
      <c r="AD163" s="34"/>
    </row>
    <row r="164" spans="1:30" ht="10.7" customHeight="1">
      <c r="A164" s="35" t="s">
        <v>64</v>
      </c>
      <c r="B164" s="32"/>
      <c r="C164" s="34">
        <v>1942</v>
      </c>
      <c r="D164" s="34"/>
      <c r="E164" s="34">
        <v>376</v>
      </c>
      <c r="F164" s="34"/>
      <c r="G164" s="34"/>
      <c r="H164" s="34">
        <v>12137</v>
      </c>
      <c r="I164" s="34"/>
      <c r="J164" s="34">
        <v>2347</v>
      </c>
      <c r="K164" s="34"/>
      <c r="L164" s="33">
        <f t="shared" si="31"/>
        <v>6.2497425334706485</v>
      </c>
      <c r="M164" s="34"/>
      <c r="N164" s="34"/>
      <c r="O164" s="34">
        <v>35882</v>
      </c>
      <c r="P164" s="34"/>
      <c r="Q164" s="34">
        <v>18475</v>
      </c>
      <c r="R164" s="34"/>
      <c r="S164" s="34">
        <v>13581</v>
      </c>
      <c r="T164" s="34"/>
      <c r="U164" s="34">
        <v>7106</v>
      </c>
      <c r="V164" s="34"/>
      <c r="W164" s="34">
        <f>(S164/5172)*1000</f>
        <v>2625.8700696055685</v>
      </c>
      <c r="X164" s="34"/>
      <c r="Y164" s="34">
        <f t="shared" ref="Y164:Y169" si="32">S164/H164*1000</f>
        <v>1118.9750350168906</v>
      </c>
      <c r="Z164" s="32"/>
      <c r="AA164" s="33">
        <f t="shared" ref="AA164:AA169" si="33">S164/O164*100</f>
        <v>37.849060810434196</v>
      </c>
      <c r="AB164" s="32"/>
      <c r="AC164" s="33">
        <f>S164/29680*100</f>
        <v>45.758086253369271</v>
      </c>
      <c r="AD164" s="34"/>
    </row>
    <row r="165" spans="1:30" ht="10.7" customHeight="1">
      <c r="A165" s="35" t="s">
        <v>65</v>
      </c>
      <c r="B165" s="32"/>
      <c r="C165" s="34">
        <v>2098</v>
      </c>
      <c r="D165" s="34"/>
      <c r="E165" s="34">
        <v>385</v>
      </c>
      <c r="F165" s="34"/>
      <c r="G165" s="34"/>
      <c r="H165" s="34">
        <v>13051</v>
      </c>
      <c r="I165" s="34"/>
      <c r="J165" s="34">
        <v>2395</v>
      </c>
      <c r="K165" s="34"/>
      <c r="L165" s="33">
        <f t="shared" si="31"/>
        <v>6.2206863679694946</v>
      </c>
      <c r="M165" s="34"/>
      <c r="N165" s="34"/>
      <c r="O165" s="34">
        <v>44846</v>
      </c>
      <c r="P165" s="34"/>
      <c r="Q165" s="34">
        <v>21380</v>
      </c>
      <c r="R165" s="34"/>
      <c r="S165" s="34">
        <v>15074</v>
      </c>
      <c r="T165" s="34"/>
      <c r="U165" s="34">
        <v>7287</v>
      </c>
      <c r="V165" s="34"/>
      <c r="W165" s="34">
        <f>(S165/5448)*1000</f>
        <v>2766.8869309838474</v>
      </c>
      <c r="X165" s="34"/>
      <c r="Y165" s="34">
        <f t="shared" si="32"/>
        <v>1155.0072791356984</v>
      </c>
      <c r="Z165" s="32"/>
      <c r="AA165" s="33">
        <f t="shared" si="33"/>
        <v>33.612808277215365</v>
      </c>
      <c r="AB165" s="32"/>
      <c r="AC165" s="33">
        <f>S165/33108*100</f>
        <v>45.52978132173493</v>
      </c>
      <c r="AD165" s="34"/>
    </row>
    <row r="166" spans="1:30" ht="10.7" customHeight="1">
      <c r="A166" s="35" t="s">
        <v>66</v>
      </c>
      <c r="B166" s="32"/>
      <c r="C166" s="34">
        <v>2210</v>
      </c>
      <c r="D166" s="34"/>
      <c r="E166" s="34">
        <v>386</v>
      </c>
      <c r="F166" s="34"/>
      <c r="G166" s="34"/>
      <c r="H166" s="34">
        <v>13677</v>
      </c>
      <c r="I166" s="34"/>
      <c r="J166" s="34">
        <v>2387</v>
      </c>
      <c r="K166" s="34"/>
      <c r="L166" s="33">
        <f t="shared" si="31"/>
        <v>6.1886877828054301</v>
      </c>
      <c r="M166" s="34"/>
      <c r="N166" s="34"/>
      <c r="O166" s="34">
        <v>53102</v>
      </c>
      <c r="P166" s="34"/>
      <c r="Q166" s="34">
        <v>24028</v>
      </c>
      <c r="R166" s="34"/>
      <c r="S166" s="34">
        <v>16237</v>
      </c>
      <c r="T166" s="34"/>
      <c r="U166" s="34">
        <v>7442</v>
      </c>
      <c r="V166" s="34"/>
      <c r="W166" s="34">
        <f>(S166/5729)*1000</f>
        <v>2834.1769942398323</v>
      </c>
      <c r="X166" s="34"/>
      <c r="Y166" s="34">
        <f t="shared" si="32"/>
        <v>1187.175550193756</v>
      </c>
      <c r="Z166" s="32"/>
      <c r="AA166" s="33">
        <f t="shared" si="33"/>
        <v>30.577002749425635</v>
      </c>
      <c r="AB166" s="32"/>
      <c r="AC166" s="33">
        <f>S166/37095*100</f>
        <v>43.771397762501685</v>
      </c>
      <c r="AD166" s="34"/>
    </row>
    <row r="167" spans="1:30" ht="10.7" customHeight="1">
      <c r="A167" s="35" t="s">
        <v>67</v>
      </c>
      <c r="B167" s="32"/>
      <c r="C167" s="34">
        <v>2323</v>
      </c>
      <c r="D167" s="34"/>
      <c r="E167" s="34">
        <v>385</v>
      </c>
      <c r="F167" s="34"/>
      <c r="G167" s="34"/>
      <c r="H167" s="34">
        <v>14171</v>
      </c>
      <c r="I167" s="34"/>
      <c r="J167" s="34">
        <v>2348</v>
      </c>
      <c r="K167" s="34"/>
      <c r="L167" s="33">
        <f t="shared" ref="L167:L172" si="34">H167/C167</f>
        <v>6.1003013344812747</v>
      </c>
      <c r="M167" s="34"/>
      <c r="N167" s="34"/>
      <c r="O167" s="34">
        <v>60653</v>
      </c>
      <c r="P167" s="34"/>
      <c r="Q167" s="34">
        <v>26107</v>
      </c>
      <c r="R167" s="34"/>
      <c r="S167" s="34">
        <v>17614</v>
      </c>
      <c r="T167" s="34"/>
      <c r="U167" s="34">
        <v>7681</v>
      </c>
      <c r="V167" s="34"/>
      <c r="W167" s="34">
        <f>(S167/6036)*1000</f>
        <v>2918.1577203445991</v>
      </c>
      <c r="X167" s="34"/>
      <c r="Y167" s="34">
        <f t="shared" si="32"/>
        <v>1242.9609766424387</v>
      </c>
      <c r="Z167" s="32"/>
      <c r="AA167" s="33">
        <f t="shared" si="33"/>
        <v>29.040608049065998</v>
      </c>
      <c r="AB167" s="32"/>
      <c r="AC167" s="33">
        <f>S167/42085*100</f>
        <v>41.853391944873472</v>
      </c>
      <c r="AD167" s="34"/>
    </row>
    <row r="168" spans="1:30" ht="10.7" customHeight="1">
      <c r="A168" s="35" t="s">
        <v>68</v>
      </c>
      <c r="B168" s="32"/>
      <c r="C168" s="34">
        <v>2402</v>
      </c>
      <c r="D168" s="34"/>
      <c r="E168" s="34">
        <v>382</v>
      </c>
      <c r="F168" s="34"/>
      <c r="G168" s="34"/>
      <c r="H168" s="34">
        <v>14523</v>
      </c>
      <c r="I168" s="34"/>
      <c r="J168" s="34">
        <v>2311</v>
      </c>
      <c r="K168" s="34"/>
      <c r="L168" s="33">
        <f t="shared" si="34"/>
        <v>6.0462114904246462</v>
      </c>
      <c r="M168" s="34"/>
      <c r="N168" s="34"/>
      <c r="O168" s="34">
        <v>67959</v>
      </c>
      <c r="P168" s="34"/>
      <c r="Q168" s="34">
        <v>28288</v>
      </c>
      <c r="R168" s="34"/>
      <c r="S168" s="34">
        <v>19090</v>
      </c>
      <c r="T168" s="34"/>
      <c r="U168" s="34">
        <v>8054</v>
      </c>
      <c r="V168" s="34"/>
      <c r="W168" s="34">
        <f>(S168/6285)*1000</f>
        <v>3037.3906125696103</v>
      </c>
      <c r="X168" s="34"/>
      <c r="Y168" s="34">
        <f t="shared" si="32"/>
        <v>1314.4667079804449</v>
      </c>
      <c r="Z168" s="32"/>
      <c r="AA168" s="33">
        <f t="shared" si="33"/>
        <v>28.090466310569607</v>
      </c>
      <c r="AB168" s="32"/>
      <c r="AC168" s="33">
        <f>S168/46550*100</f>
        <v>41.009667024704619</v>
      </c>
      <c r="AD168" s="34"/>
    </row>
    <row r="169" spans="1:30" ht="10.7" customHeight="1">
      <c r="A169" s="35" t="s">
        <v>69</v>
      </c>
      <c r="B169" s="32"/>
      <c r="C169" s="34">
        <v>2342</v>
      </c>
      <c r="D169" s="34"/>
      <c r="E169" s="34">
        <v>376</v>
      </c>
      <c r="F169" s="34"/>
      <c r="G169" s="34"/>
      <c r="H169" s="34">
        <v>14080</v>
      </c>
      <c r="I169" s="34"/>
      <c r="J169" s="34">
        <v>2262</v>
      </c>
      <c r="K169" s="34"/>
      <c r="L169" s="33">
        <f t="shared" si="34"/>
        <v>6.0119555935098203</v>
      </c>
      <c r="M169" s="34"/>
      <c r="N169" s="34"/>
      <c r="O169" s="34">
        <v>71385</v>
      </c>
      <c r="P169" s="34"/>
      <c r="Q169" s="34">
        <v>30484</v>
      </c>
      <c r="R169" s="34"/>
      <c r="S169" s="34">
        <v>19328</v>
      </c>
      <c r="T169" s="34"/>
      <c r="U169" s="34">
        <v>8374</v>
      </c>
      <c r="V169" s="34"/>
      <c r="W169" s="34">
        <f>(S169/6225)*1000</f>
        <v>3104.8995983935743</v>
      </c>
      <c r="X169" s="34"/>
      <c r="Y169" s="34">
        <f t="shared" si="32"/>
        <v>1372.7272727272727</v>
      </c>
      <c r="Z169" s="32"/>
      <c r="AA169" s="33">
        <f t="shared" si="33"/>
        <v>27.075716186873994</v>
      </c>
      <c r="AB169" s="32"/>
      <c r="AC169" s="33">
        <f>S169/48204*100</f>
        <v>40.096257571985724</v>
      </c>
      <c r="AD169" s="34"/>
    </row>
    <row r="170" spans="1:30" ht="10.7" customHeight="1">
      <c r="A170" s="35" t="s">
        <v>79</v>
      </c>
      <c r="B170" s="32"/>
      <c r="C170" s="34">
        <v>2341</v>
      </c>
      <c r="D170" s="34"/>
      <c r="E170" s="34">
        <v>371</v>
      </c>
      <c r="F170" s="34"/>
      <c r="G170" s="34"/>
      <c r="H170" s="34">
        <v>14014</v>
      </c>
      <c r="I170" s="34"/>
      <c r="J170" s="34">
        <v>2218</v>
      </c>
      <c r="K170" s="34"/>
      <c r="L170" s="33">
        <f t="shared" si="34"/>
        <v>5.9863306279367787</v>
      </c>
      <c r="M170" s="34"/>
      <c r="N170" s="34"/>
      <c r="O170" s="34">
        <v>76267</v>
      </c>
      <c r="P170" s="34"/>
      <c r="Q170" s="34">
        <v>32577</v>
      </c>
      <c r="R170" s="34"/>
      <c r="S170" s="34">
        <v>19956</v>
      </c>
      <c r="T170" s="34"/>
      <c r="U170" s="34">
        <v>8657</v>
      </c>
      <c r="V170" s="34"/>
      <c r="W170" s="34">
        <f>(S170/6317)*1000</f>
        <v>3159.0945068861802</v>
      </c>
      <c r="X170" s="34"/>
      <c r="Y170" s="34">
        <f>S170/H170*1000</f>
        <v>1424.0045668617097</v>
      </c>
      <c r="Z170" s="32"/>
      <c r="AA170" s="33">
        <f>S170/O170*100</f>
        <v>26.165969554328871</v>
      </c>
      <c r="AB170" s="32"/>
      <c r="AC170" s="33">
        <f>S170/50697*100</f>
        <v>39.363275933487188</v>
      </c>
      <c r="AD170" s="34"/>
    </row>
    <row r="171" spans="1:30" ht="10.7" customHeight="1">
      <c r="A171" s="35" t="s">
        <v>80</v>
      </c>
      <c r="B171" s="32"/>
      <c r="C171" s="34">
        <v>2340</v>
      </c>
      <c r="D171" s="34"/>
      <c r="E171" s="34">
        <v>368</v>
      </c>
      <c r="F171" s="34"/>
      <c r="G171" s="34"/>
      <c r="H171" s="34">
        <v>13896</v>
      </c>
      <c r="I171" s="34"/>
      <c r="J171" s="34">
        <v>2186</v>
      </c>
      <c r="K171" s="34"/>
      <c r="L171" s="33">
        <f t="shared" si="34"/>
        <v>5.9384615384615387</v>
      </c>
      <c r="M171" s="34"/>
      <c r="N171" s="34"/>
      <c r="O171" s="34">
        <v>81981</v>
      </c>
      <c r="P171" s="34"/>
      <c r="Q171" s="34">
        <v>35037</v>
      </c>
      <c r="R171" s="34"/>
      <c r="S171" s="34">
        <v>21232</v>
      </c>
      <c r="T171" s="34"/>
      <c r="U171" s="34">
        <v>9218</v>
      </c>
      <c r="V171" s="34"/>
      <c r="W171" s="34">
        <f>(S171/6358.237)*1000</f>
        <v>3339.2904353832673</v>
      </c>
      <c r="X171" s="34"/>
      <c r="Y171" s="34">
        <f>S171/H171*1000</f>
        <v>1527.9217040875074</v>
      </c>
      <c r="Z171" s="32"/>
      <c r="AA171" s="33">
        <f>S171/O171*100</f>
        <v>25.898683841377878</v>
      </c>
      <c r="AB171" s="32"/>
      <c r="AC171" s="54">
        <f>S171/54017.954*100</f>
        <v>39.305450184210976</v>
      </c>
      <c r="AD171" s="34"/>
    </row>
    <row r="172" spans="1:30" ht="10.7" customHeight="1">
      <c r="A172" s="55" t="s">
        <v>82</v>
      </c>
      <c r="B172" s="32"/>
      <c r="C172" s="34">
        <v>2395</v>
      </c>
      <c r="D172" s="34"/>
      <c r="E172" s="34">
        <v>372</v>
      </c>
      <c r="F172" s="34"/>
      <c r="G172" s="34"/>
      <c r="H172" s="34">
        <v>13804</v>
      </c>
      <c r="I172" s="34"/>
      <c r="J172" s="34">
        <v>2145</v>
      </c>
      <c r="K172" s="34"/>
      <c r="L172" s="33">
        <f t="shared" si="34"/>
        <v>5.7636743215031316</v>
      </c>
      <c r="M172" s="34"/>
      <c r="N172" s="34"/>
      <c r="O172" s="34">
        <v>89325</v>
      </c>
      <c r="P172" s="34"/>
      <c r="Q172" s="34">
        <v>37294</v>
      </c>
      <c r="R172" s="34"/>
      <c r="S172" s="34">
        <v>23375</v>
      </c>
      <c r="T172" s="34"/>
      <c r="U172" s="34">
        <v>9916</v>
      </c>
      <c r="V172" s="34"/>
      <c r="W172" s="34">
        <f>(S172/6434.039)*1000</f>
        <v>3633.0211862253245</v>
      </c>
      <c r="X172" s="34"/>
      <c r="Y172" s="34">
        <f>S172/H172*1000</f>
        <v>1693.3497536945813</v>
      </c>
      <c r="Z172" s="32"/>
      <c r="AA172" s="33">
        <f>S172/O172*100</f>
        <v>26.168485866218866</v>
      </c>
      <c r="AB172" s="32"/>
      <c r="AC172" s="54">
        <f>S172/59462.346*100</f>
        <v>39.31059161372476</v>
      </c>
      <c r="AD172" s="34"/>
    </row>
    <row r="173" spans="1:30" ht="9.9499999999999993" customHeight="1">
      <c r="A173" s="56" t="s">
        <v>74</v>
      </c>
      <c r="B173" s="57"/>
      <c r="C173" s="57"/>
      <c r="D173" s="57"/>
      <c r="E173" s="57"/>
      <c r="F173" s="57"/>
      <c r="G173" s="57"/>
      <c r="H173" s="57"/>
      <c r="I173" s="57"/>
      <c r="J173" s="57"/>
      <c r="K173" s="57"/>
      <c r="L173" s="57"/>
      <c r="M173" s="57"/>
      <c r="O173" s="57"/>
      <c r="P173" s="57"/>
      <c r="Q173" s="57"/>
      <c r="R173" s="57"/>
      <c r="S173" s="57"/>
      <c r="T173" s="57"/>
      <c r="U173" s="57"/>
      <c r="V173" s="57"/>
      <c r="W173" s="57"/>
      <c r="X173" s="57"/>
      <c r="Y173" s="57"/>
      <c r="Z173" s="57"/>
      <c r="AA173" s="57"/>
      <c r="AB173" s="57"/>
      <c r="AC173" s="57"/>
      <c r="AD173" s="57"/>
    </row>
    <row r="174" spans="1:30" ht="9" customHeight="1">
      <c r="A174" s="59" t="s">
        <v>50</v>
      </c>
      <c r="B174" s="29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</row>
    <row r="175" spans="1:30" ht="9.9499999999999993" customHeight="1">
      <c r="A175" s="56" t="s">
        <v>75</v>
      </c>
      <c r="B175" s="29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</row>
    <row r="176" spans="1:30" ht="9.9499999999999993" customHeight="1">
      <c r="A176" s="60" t="s">
        <v>76</v>
      </c>
    </row>
    <row r="177" spans="1:29" ht="9.9499999999999993" customHeight="1">
      <c r="A177" s="60" t="s">
        <v>84</v>
      </c>
      <c r="W177" s="61"/>
      <c r="AC177" s="62"/>
    </row>
    <row r="178" spans="1:29" ht="9.9499999999999993" customHeight="1">
      <c r="A178" s="63" t="s">
        <v>85</v>
      </c>
      <c r="W178" s="61"/>
      <c r="AC178" s="62"/>
    </row>
    <row r="179" spans="1:29" ht="9.9499999999999993" customHeight="1">
      <c r="A179" s="63" t="s">
        <v>87</v>
      </c>
      <c r="W179" s="61"/>
      <c r="AC179" s="62"/>
    </row>
    <row r="180" spans="1:29" ht="9" customHeight="1">
      <c r="A180" s="63" t="s">
        <v>86</v>
      </c>
      <c r="W180" s="61"/>
      <c r="AC180" s="62"/>
    </row>
    <row r="181" spans="1:29" ht="9.9499999999999993" customHeight="1">
      <c r="A181" s="60" t="s">
        <v>88</v>
      </c>
    </row>
    <row r="182" spans="1:29" ht="9" customHeight="1">
      <c r="A182" s="63" t="s">
        <v>89</v>
      </c>
    </row>
    <row r="183" spans="1:29" ht="9.9499999999999993" customHeight="1">
      <c r="A183" s="63" t="s">
        <v>90</v>
      </c>
      <c r="AC183" s="62"/>
    </row>
    <row r="184" spans="1:29" ht="9.9499999999999993" customHeight="1">
      <c r="A184" s="60"/>
      <c r="AC184" s="62"/>
    </row>
    <row r="185" spans="1:29" ht="9.9499999999999993" customHeight="1">
      <c r="A185" s="64" t="s">
        <v>93</v>
      </c>
    </row>
    <row r="186" spans="1:29" ht="9.9499999999999993" customHeight="1">
      <c r="A186" s="80"/>
    </row>
    <row r="187" spans="1:29" ht="9.9499999999999993" customHeight="1">
      <c r="A187" s="59" t="s">
        <v>91</v>
      </c>
      <c r="W187" s="61"/>
      <c r="AA187" s="62"/>
      <c r="AC187" s="62"/>
    </row>
    <row r="188" spans="1:29" ht="9.9499999999999993" customHeight="1">
      <c r="A188" s="63" t="s">
        <v>92</v>
      </c>
      <c r="W188" s="61"/>
      <c r="AA188" s="62"/>
      <c r="AC188" s="62"/>
    </row>
    <row r="192" spans="1:29" ht="9" thickBot="1"/>
    <row r="193" spans="1:31" s="76" customFormat="1" ht="15" customHeight="1" thickBot="1">
      <c r="A193" s="77" t="s">
        <v>83</v>
      </c>
      <c r="B193" s="78"/>
      <c r="C193" s="78"/>
      <c r="D193" s="78"/>
      <c r="E193" s="79"/>
      <c r="F193" s="75"/>
      <c r="G193" s="75"/>
      <c r="H193" s="74"/>
      <c r="I193" s="74"/>
      <c r="J193" s="74"/>
      <c r="K193" s="74"/>
      <c r="L193" s="74"/>
      <c r="M193" s="74"/>
      <c r="N193" s="74"/>
      <c r="O193" s="74"/>
      <c r="P193" s="74"/>
      <c r="Q193" s="74"/>
      <c r="R193" s="74"/>
      <c r="S193" s="74"/>
      <c r="T193" s="74"/>
      <c r="U193" s="74"/>
      <c r="V193" s="74"/>
      <c r="W193" s="74"/>
      <c r="X193" s="74"/>
      <c r="Y193" s="74"/>
      <c r="Z193" s="74"/>
      <c r="AA193" s="74"/>
      <c r="AB193" s="74"/>
      <c r="AC193" s="74"/>
      <c r="AD193" s="74"/>
      <c r="AE193" s="75"/>
    </row>
  </sheetData>
  <phoneticPr fontId="1" type="noConversion"/>
  <printOptions gridLinesSet="0"/>
  <pageMargins left="0.85" right="0.8" top="0.75" bottom="0.75" header="0.5" footer="0.5"/>
  <pageSetup firstPageNumber="69" pageOrder="overThenDown" orientation="portrait" useFirstPageNumber="1" horizontalDpi="300" verticalDpi="300" r:id="rId1"/>
  <headerFooter alignWithMargins="0">
    <oddFooter>&amp;L&amp;"Times New Roman,Bold"&amp;8HEALTH CARE FINANCING REVIEW/&amp;"Times New Roman,Regular"&amp;6 2010 Statistical Supplement</oddFooter>
  </headerFooter>
  <rowBreaks count="2" manualBreakCount="2">
    <brk id="61" max="29" man="1"/>
    <brk id="126" max="29" man="1"/>
  </rowBreaks>
  <colBreaks count="1" manualBreakCount="1">
    <brk id="13" max="194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table5.1</vt:lpstr>
      <vt:lpstr>table5.1!Print_Area</vt:lpstr>
      <vt:lpstr>table5.1!Print_Area_MI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</dc:creator>
  <cp:lastModifiedBy>CMS</cp:lastModifiedBy>
  <cp:lastPrinted>2012-09-27T19:04:53Z</cp:lastPrinted>
  <dcterms:created xsi:type="dcterms:W3CDTF">1999-11-02T14:04:31Z</dcterms:created>
  <dcterms:modified xsi:type="dcterms:W3CDTF">2012-09-27T19:07:05Z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-2071991715</vt:i4>
  </property>
  <property fmtid="{D5CDD505-2E9C-101B-9397-08002B2CF9AE}" pid="3" name="_NewReviewCycle">
    <vt:lpwstr/>
  </property>
  <property fmtid="{D5CDD505-2E9C-101B-9397-08002B2CF9AE}" pid="4" name="_EmailSubject">
    <vt:lpwstr>Revised Short-Stay Hospital Section  (2010 Supplement) </vt:lpwstr>
  </property>
  <property fmtid="{D5CDD505-2E9C-101B-9397-08002B2CF9AE}" pid="5" name="_AuthorEmail">
    <vt:lpwstr>Diana.Murphy@cms.hhs.gov</vt:lpwstr>
  </property>
  <property fmtid="{D5CDD505-2E9C-101B-9397-08002B2CF9AE}" pid="6" name="_AuthorEmailDisplayName">
    <vt:lpwstr>Murphy, Diana L. (CMS/OEM)</vt:lpwstr>
  </property>
  <property fmtid="{D5CDD505-2E9C-101B-9397-08002B2CF9AE}" pid="8" name="_PreviousAdHocReviewCycleID">
    <vt:i4>1400302044</vt:i4>
  </property>
</Properties>
</file>