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3" sheetId="1" r:id="rId1"/>
  </sheets>
  <definedNames>
    <definedName name="_Regression_Int" localSheetId="0" hidden="1">1</definedName>
    <definedName name="_xlnm.Print_Area" localSheetId="0">TABLE13.13!$A$1:$W$107</definedName>
    <definedName name="_xlnm.Print_Area">TABLE13.13!$A$1:$W$102</definedName>
    <definedName name="Print_Area_MI" localSheetId="0">TABLE13.13!$A$1:$W$102</definedName>
  </definedNames>
  <calcPr calcId="125725"/>
</workbook>
</file>

<file path=xl/calcChain.xml><?xml version="1.0" encoding="utf-8"?>
<calcChain xmlns="http://schemas.openxmlformats.org/spreadsheetml/2006/main">
  <c r="V86" i="1"/>
  <c r="V85"/>
  <c r="S85"/>
  <c r="Q85"/>
  <c r="O85"/>
  <c r="E85"/>
  <c r="C85"/>
  <c r="V84"/>
  <c r="S84"/>
  <c r="Q84"/>
  <c r="O84"/>
  <c r="E84"/>
  <c r="C84"/>
  <c r="V83"/>
  <c r="S83"/>
  <c r="Q83"/>
  <c r="O83"/>
  <c r="E83"/>
  <c r="C83"/>
  <c r="V82"/>
  <c r="S82"/>
  <c r="Q82"/>
  <c r="O82"/>
  <c r="E82"/>
  <c r="C82"/>
  <c r="V81"/>
  <c r="S81"/>
  <c r="Q81"/>
  <c r="O81"/>
  <c r="E81"/>
  <c r="C81"/>
  <c r="V80"/>
  <c r="S80"/>
  <c r="Q80"/>
  <c r="O80"/>
  <c r="E80"/>
  <c r="C80"/>
  <c r="V79"/>
  <c r="S79"/>
  <c r="Q79"/>
  <c r="O79"/>
  <c r="E79"/>
  <c r="C79"/>
  <c r="V78"/>
  <c r="S78"/>
  <c r="Q78"/>
  <c r="O78"/>
  <c r="E78"/>
  <c r="C78"/>
  <c r="V77"/>
  <c r="S77"/>
  <c r="Q77"/>
  <c r="O77"/>
  <c r="E77"/>
  <c r="C77"/>
  <c r="V76"/>
  <c r="S76"/>
  <c r="Q76"/>
  <c r="O76"/>
  <c r="E76"/>
  <c r="C76"/>
  <c r="V75"/>
  <c r="S75"/>
  <c r="Q75"/>
  <c r="O75"/>
  <c r="E75"/>
  <c r="C75"/>
  <c r="V74"/>
  <c r="S74"/>
  <c r="Q74"/>
  <c r="O74"/>
  <c r="E74"/>
  <c r="C74"/>
  <c r="V73"/>
  <c r="S73"/>
  <c r="Q73"/>
  <c r="O73"/>
  <c r="E73"/>
  <c r="C73"/>
  <c r="V72"/>
  <c r="S72"/>
  <c r="Q72"/>
  <c r="O72"/>
  <c r="E72"/>
  <c r="C72"/>
  <c r="V71"/>
  <c r="S71"/>
  <c r="Q71"/>
  <c r="O71"/>
  <c r="E71"/>
  <c r="C71"/>
  <c r="V70"/>
  <c r="S70"/>
  <c r="Q70"/>
  <c r="O70"/>
  <c r="E70"/>
  <c r="C70"/>
  <c r="V69"/>
  <c r="S69"/>
  <c r="Q69"/>
  <c r="O69"/>
  <c r="E69"/>
  <c r="C69"/>
  <c r="V68"/>
  <c r="S68"/>
  <c r="Q68"/>
  <c r="O68"/>
  <c r="E68"/>
  <c r="C68"/>
  <c r="V67"/>
  <c r="S67"/>
  <c r="Q67"/>
  <c r="O67"/>
  <c r="E67"/>
  <c r="C67"/>
  <c r="V66"/>
  <c r="S66"/>
  <c r="Q66"/>
  <c r="O66"/>
  <c r="E66"/>
  <c r="C66"/>
  <c r="V65"/>
  <c r="S65"/>
  <c r="Q65"/>
  <c r="O65"/>
  <c r="E65"/>
  <c r="C65"/>
  <c r="V64"/>
  <c r="S64"/>
  <c r="Q64"/>
  <c r="O64"/>
  <c r="E64"/>
  <c r="C64"/>
  <c r="V63"/>
  <c r="S63"/>
  <c r="Q63"/>
  <c r="O63"/>
  <c r="E63"/>
  <c r="C63"/>
  <c r="V62"/>
  <c r="S62"/>
  <c r="Q62"/>
  <c r="O62"/>
  <c r="E62"/>
  <c r="C62"/>
  <c r="V61"/>
  <c r="S61"/>
  <c r="Q61"/>
  <c r="O61"/>
  <c r="E61"/>
  <c r="C61"/>
  <c r="V60"/>
  <c r="S60"/>
  <c r="Q60"/>
  <c r="O60"/>
  <c r="E60"/>
  <c r="C60"/>
  <c r="V59"/>
  <c r="S59"/>
  <c r="Q59"/>
  <c r="O59"/>
  <c r="E59"/>
  <c r="C59"/>
  <c r="V58"/>
  <c r="S58"/>
  <c r="Q58"/>
  <c r="O58"/>
  <c r="E58"/>
  <c r="C58"/>
  <c r="V57"/>
  <c r="S57"/>
  <c r="Q57"/>
  <c r="O57"/>
  <c r="E57"/>
  <c r="C57"/>
  <c r="V56"/>
  <c r="S56"/>
  <c r="Q56"/>
  <c r="O56"/>
  <c r="E56"/>
  <c r="C56"/>
  <c r="V55"/>
  <c r="S55"/>
  <c r="Q55"/>
  <c r="O55"/>
  <c r="E55"/>
  <c r="C55"/>
  <c r="V54"/>
  <c r="S54"/>
  <c r="Q54"/>
  <c r="O54"/>
  <c r="E54"/>
  <c r="C54"/>
  <c r="V53"/>
  <c r="S53"/>
  <c r="Q53"/>
  <c r="O53"/>
  <c r="E53"/>
  <c r="C53"/>
  <c r="V39"/>
  <c r="S39"/>
  <c r="Q39"/>
  <c r="O39"/>
  <c r="E39"/>
  <c r="C39"/>
  <c r="S86"/>
  <c r="Q86"/>
  <c r="O86"/>
  <c r="E86"/>
  <c r="C86"/>
  <c r="V38"/>
  <c r="S38"/>
  <c r="Q38"/>
  <c r="O38"/>
  <c r="E38"/>
  <c r="C38"/>
  <c r="C37"/>
  <c r="V37"/>
  <c r="S37"/>
  <c r="Q37"/>
  <c r="O37"/>
  <c r="E37"/>
  <c r="V36"/>
  <c r="S36"/>
  <c r="Q36"/>
  <c r="O36"/>
  <c r="E36"/>
  <c r="C36"/>
  <c r="V35"/>
  <c r="S35"/>
  <c r="Q35"/>
  <c r="O35"/>
  <c r="E35"/>
  <c r="C35"/>
  <c r="V34"/>
  <c r="S34"/>
  <c r="Q34"/>
  <c r="O34"/>
  <c r="E34"/>
  <c r="C34"/>
  <c r="V33"/>
  <c r="S33"/>
  <c r="Q33"/>
  <c r="O33"/>
  <c r="E33"/>
  <c r="C33"/>
  <c r="V32"/>
  <c r="S32"/>
  <c r="Q32"/>
  <c r="O32"/>
  <c r="E32"/>
  <c r="C32"/>
  <c r="V31"/>
  <c r="S31"/>
  <c r="Q31"/>
  <c r="O31"/>
  <c r="E31"/>
  <c r="C31"/>
  <c r="V30"/>
  <c r="S30"/>
  <c r="Q30"/>
  <c r="O30"/>
  <c r="E30"/>
  <c r="C30"/>
  <c r="V29"/>
  <c r="S29"/>
  <c r="Q29"/>
  <c r="O29"/>
  <c r="E29"/>
  <c r="C29"/>
  <c r="V28"/>
  <c r="S28"/>
  <c r="Q28"/>
  <c r="O28"/>
  <c r="E28"/>
  <c r="C28"/>
  <c r="I68"/>
  <c r="J68"/>
  <c r="K68"/>
  <c r="L68"/>
  <c r="I69"/>
  <c r="J69"/>
  <c r="K69"/>
  <c r="L69"/>
  <c r="I70"/>
  <c r="J70"/>
  <c r="K70"/>
  <c r="L70"/>
  <c r="I71"/>
  <c r="J71"/>
  <c r="K71"/>
  <c r="L71"/>
  <c r="I72"/>
  <c r="J72"/>
  <c r="K72"/>
  <c r="L72"/>
</calcChain>
</file>

<file path=xl/sharedStrings.xml><?xml version="1.0" encoding="utf-8"?>
<sst xmlns="http://schemas.openxmlformats.org/spreadsheetml/2006/main" count="196" uniqueCount="72">
  <si>
    <t>Inpatient</t>
  </si>
  <si>
    <t>nursing</t>
  </si>
  <si>
    <t xml:space="preserve">   Nursing</t>
  </si>
  <si>
    <t>Outpatient</t>
  </si>
  <si>
    <t>Prescribed</t>
  </si>
  <si>
    <t>Year</t>
  </si>
  <si>
    <t>Hospital</t>
  </si>
  <si>
    <t>ICF/MR</t>
  </si>
  <si>
    <t>Other</t>
  </si>
  <si>
    <t>facility</t>
  </si>
  <si>
    <t xml:space="preserve">  Physician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</si>
  <si>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</si>
  <si>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</si>
  <si>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</si>
  <si>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</si>
  <si>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</si>
  <si>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</si>
  <si>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</si>
  <si>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</si>
  <si>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</si>
  <si>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</si>
  <si>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</si>
  <si>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</si>
  <si>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</si>
  <si>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</si>
  <si>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</si>
  <si>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</si>
  <si>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</si>
  <si>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</si>
  <si>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</si>
  <si>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</si>
  <si>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</si>
  <si>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</si>
  <si>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</si>
  <si>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</si>
  <si>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Physician</t>
  </si>
  <si>
    <t xml:space="preserve"> Nursing</t>
  </si>
  <si>
    <t xml:space="preserve">   Facility</t>
  </si>
  <si>
    <t xml:space="preserve"> Facility</t>
  </si>
  <si>
    <t>Table 13.13</t>
  </si>
  <si>
    <t>Table 13.13—Continued</t>
  </si>
  <si>
    <r>
      <t xml:space="preserve">   Total </t>
    </r>
    <r>
      <rPr>
        <vertAlign val="superscript"/>
        <sz val="8"/>
        <rFont val="Arial"/>
        <family val="2"/>
      </rPr>
      <t>1</t>
    </r>
  </si>
  <si>
    <t>Medicaid Payments per Person Served (Beneficiary), Children, by Type of Service:</t>
  </si>
  <si>
    <t xml:space="preserve">     Outpatient</t>
  </si>
  <si>
    <t xml:space="preserve"> Home</t>
  </si>
  <si>
    <t>Home</t>
  </si>
  <si>
    <t xml:space="preserve">   Drugs</t>
  </si>
  <si>
    <t xml:space="preserve">    Drugs</t>
  </si>
  <si>
    <t xml:space="preserve">  Hospital</t>
  </si>
  <si>
    <t xml:space="preserve">Medicaid Payments per Person Served (Beneficiary), Children, by Type of Service: </t>
  </si>
  <si>
    <t>some not shown separately.</t>
  </si>
  <si>
    <t>that may be misleading.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</si>
  <si>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</si>
  <si>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</si>
  <si>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</si>
  <si>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</si>
  <si>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SOURCES: Centers for Medicare &amp; Medicaid Services, Center for Medicaid and State Operations: Statistical Report on Medical Care: Eligibles, </t>
  </si>
  <si>
    <t>indices form the U.S. Department of Commerce; data development by the Office of Research, Development, and Information.</t>
  </si>
  <si>
    <t xml:space="preserve">Recipients, Payments, and Services (HCFA 2082), Medicaid Statistical Information System (MSIS), and the personal health care consumption </t>
  </si>
  <si>
    <t>Fiscal Years 1975-2008</t>
  </si>
  <si>
    <t>(Constant 2008 Dollars)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</si>
  <si>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</si>
  <si>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</si>
  <si>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</si>
  <si>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</si>
  <si>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</si>
  <si>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</si>
  <si>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</si>
  <si>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 xml:space="preserve">services, U.S. Department of Commerce, Bureau of Economic Analysis (BEA), expressed in fiscal year 2008 dollars. With the release of the comprehensive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</si>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</sst>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&quot;$&quot;#,##0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37" fontId="7" fillId="0" borderId="0" xfId="0" applyNumberFormat="1" applyFont="1" applyAlignment="1" applyProtection="1">
      <alignment horizontal="center"/>
    </xf>
    <xf numFmtId="164" fontId="8" fillId="0" borderId="0" xfId="0" applyFont="1"/>
    <xf numFmtId="37" fontId="7" fillId="0" borderId="1" xfId="0" applyNumberFormat="1" applyFont="1" applyBorder="1" applyAlignment="1" applyProtection="1">
      <alignment horizontal="center"/>
    </xf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7" fillId="0" borderId="0" xfId="0" applyFont="1"/>
    <xf numFmtId="164" fontId="9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NumberFormat="1" applyFont="1" applyBorder="1" applyProtection="1"/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165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4" fontId="8" fillId="0" borderId="0" xfId="0" quotePrefix="1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5" fontId="8" fillId="0" borderId="0" xfId="1" applyNumberFormat="1" applyFont="1" applyProtection="1"/>
    <xf numFmtId="5" fontId="8" fillId="0" borderId="0" xfId="0" applyNumberFormat="1" applyFont="1" applyProtection="1"/>
    <xf numFmtId="166" fontId="8" fillId="0" borderId="0" xfId="1" applyNumberFormat="1" applyFont="1" applyProtection="1"/>
    <xf numFmtId="166" fontId="8" fillId="0" borderId="0" xfId="1" applyNumberFormat="1" applyFont="1" applyBorder="1" applyProtection="1"/>
    <xf numFmtId="164" fontId="2" fillId="0" borderId="0" xfId="0" applyFont="1" applyBorder="1"/>
    <xf numFmtId="166" fontId="8" fillId="0" borderId="1" xfId="1" applyNumberFormat="1" applyFont="1" applyBorder="1" applyProtection="1"/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NumberFormat="1" applyFont="1" applyBorder="1" applyAlignment="1" applyProtection="1">
      <alignment horizontal="centerContinuous" vertical="center"/>
    </xf>
    <xf numFmtId="164" fontId="5" fillId="0" borderId="1" xfId="0" applyNumberFormat="1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3" fontId="8" fillId="0" borderId="0" xfId="0" applyNumberFormat="1" applyFont="1" applyProtection="1"/>
    <xf numFmtId="3" fontId="8" fillId="0" borderId="0" xfId="0" applyNumberFormat="1" applyFont="1" applyAlignment="1" applyProtection="1"/>
    <xf numFmtId="167" fontId="8" fillId="0" borderId="2" xfId="0" applyNumberFormat="1" applyFont="1" applyBorder="1" applyProtection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0" fillId="0" borderId="0" xfId="0" applyFont="1"/>
    <xf numFmtId="164" fontId="8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  <xf numFmtId="164" fontId="9" fillId="0" borderId="0" xfId="0" quotePrefix="1" applyNumberFormat="1" applyFont="1" applyBorder="1" applyAlignment="1" applyProtection="1">
      <alignment horizontal="left" vertical="center"/>
    </xf>
    <xf numFmtId="164" fontId="8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164" fontId="7" fillId="0" borderId="0" xfId="0" applyFont="1" applyAlignment="1">
      <alignment vertical="center"/>
    </xf>
    <xf numFmtId="164" fontId="4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Z108"/>
  <sheetViews>
    <sheetView showGridLines="0" tabSelected="1" topLeftCell="A61" zoomScale="120" zoomScaleNormal="120" zoomScaleSheetLayoutView="75" workbookViewId="0">
      <selection activeCell="A96" sqref="A96:A103"/>
    </sheetView>
  </sheetViews>
  <sheetFormatPr defaultColWidth="11.7109375" defaultRowHeight="12.75"/>
  <cols>
    <col min="1" max="1" width="6.7109375" style="8" customWidth="1"/>
    <col min="2" max="2" width="2.7109375" style="8" customWidth="1"/>
    <col min="3" max="3" width="6.5703125" style="8" customWidth="1"/>
    <col min="4" max="4" width="5.7109375" style="8" customWidth="1"/>
    <col min="5" max="5" width="6.7109375" style="8" customWidth="1"/>
    <col min="6" max="6" width="3.7109375" style="8" customWidth="1"/>
    <col min="7" max="7" width="6.7109375" style="8" customWidth="1"/>
    <col min="8" max="8" width="2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5.7109375" style="8" customWidth="1"/>
    <col min="16" max="16" width="2.7109375" style="8" customWidth="1"/>
    <col min="17" max="17" width="8.7109375" style="8" customWidth="1"/>
    <col min="18" max="18" width="2.7109375" style="8" customWidth="1"/>
    <col min="19" max="19" width="6.7109375" style="8" customWidth="1"/>
    <col min="20" max="20" width="3.7109375" style="8" customWidth="1"/>
    <col min="21" max="21" width="0.42578125" style="8" hidden="1" customWidth="1"/>
    <col min="22" max="22" width="5.5703125" style="8" customWidth="1"/>
    <col min="23" max="23" width="2.7109375" style="8" customWidth="1"/>
    <col min="24" max="24" width="11.7109375" style="8"/>
  </cols>
  <sheetData>
    <row r="1" spans="1:24" s="3" customFormat="1" ht="15" customHeight="1">
      <c r="A1" s="63" t="s">
        <v>39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"/>
    </row>
    <row r="2" spans="1:24" s="51" customFormat="1" ht="15" customHeight="1">
      <c r="A2" s="52" t="s">
        <v>42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0"/>
    </row>
    <row r="3" spans="1:24" s="4" customFormat="1" ht="15" customHeight="1">
      <c r="A3" s="53" t="s">
        <v>59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7"/>
    </row>
    <row r="4" spans="1:24" s="1" customFormat="1" ht="10.15" customHeight="1">
      <c r="A4" s="20"/>
      <c r="B4" s="21"/>
      <c r="C4" s="21"/>
      <c r="D4" s="21"/>
      <c r="E4" s="22" t="s">
        <v>0</v>
      </c>
      <c r="F4" s="23"/>
      <c r="G4" s="21"/>
      <c r="H4" s="21"/>
      <c r="I4" s="21"/>
      <c r="J4" s="21"/>
      <c r="K4" s="22" t="s">
        <v>1</v>
      </c>
      <c r="L4" s="21"/>
      <c r="M4" s="24" t="s">
        <v>2</v>
      </c>
      <c r="N4" s="21"/>
      <c r="O4" s="21"/>
      <c r="P4" s="21"/>
      <c r="Q4" s="24" t="s">
        <v>43</v>
      </c>
      <c r="R4" s="21"/>
      <c r="S4" s="22" t="s">
        <v>44</v>
      </c>
      <c r="T4" s="22"/>
      <c r="U4" s="22"/>
      <c r="V4" s="24" t="s">
        <v>4</v>
      </c>
      <c r="W4" s="21"/>
      <c r="X4" s="10"/>
    </row>
    <row r="5" spans="1:24" s="1" customFormat="1" ht="13.5" customHeight="1">
      <c r="A5" s="25" t="s">
        <v>5</v>
      </c>
      <c r="B5" s="10"/>
      <c r="C5" s="25" t="s">
        <v>41</v>
      </c>
      <c r="D5" s="10"/>
      <c r="E5" s="26" t="s">
        <v>6</v>
      </c>
      <c r="F5" s="27"/>
      <c r="G5" s="28" t="s">
        <v>7</v>
      </c>
      <c r="H5" s="29"/>
      <c r="I5" s="30" t="s">
        <v>8</v>
      </c>
      <c r="J5" s="29"/>
      <c r="K5" s="30" t="s">
        <v>9</v>
      </c>
      <c r="L5" s="29"/>
      <c r="M5" s="28" t="s">
        <v>37</v>
      </c>
      <c r="N5" s="10"/>
      <c r="O5" s="25" t="s">
        <v>10</v>
      </c>
      <c r="P5" s="10"/>
      <c r="Q5" s="54" t="s">
        <v>6</v>
      </c>
      <c r="R5" s="10"/>
      <c r="S5" s="31" t="s">
        <v>61</v>
      </c>
      <c r="T5" s="26"/>
      <c r="U5" s="26"/>
      <c r="V5" s="25" t="s">
        <v>47</v>
      </c>
      <c r="W5" s="29"/>
      <c r="X5" s="10"/>
    </row>
    <row r="6" spans="1:24" s="1" customFormat="1" ht="12" customHeight="1">
      <c r="A6" s="32" t="s">
        <v>11</v>
      </c>
      <c r="B6" s="33"/>
      <c r="C6" s="34">
        <v>228</v>
      </c>
      <c r="D6" s="35"/>
      <c r="E6" s="34">
        <v>895</v>
      </c>
      <c r="F6" s="35"/>
      <c r="G6" s="9">
        <v>-3</v>
      </c>
      <c r="H6" s="10"/>
      <c r="I6" s="36" t="s">
        <v>12</v>
      </c>
      <c r="J6" s="10"/>
      <c r="K6" s="37" t="s">
        <v>13</v>
      </c>
      <c r="L6" s="10"/>
      <c r="M6" s="9">
        <v>-3</v>
      </c>
      <c r="N6" s="33"/>
      <c r="O6" s="34">
        <v>60</v>
      </c>
      <c r="P6" s="33"/>
      <c r="Q6" s="34">
        <v>40</v>
      </c>
      <c r="R6" s="33"/>
      <c r="S6" s="34">
        <v>143</v>
      </c>
      <c r="T6" s="34"/>
      <c r="U6" s="34"/>
      <c r="V6" s="58">
        <v>23</v>
      </c>
      <c r="W6" s="10"/>
      <c r="X6" s="10"/>
    </row>
    <row r="7" spans="1:24" s="1" customFormat="1" ht="11.25" customHeight="1">
      <c r="A7" s="25" t="s">
        <v>14</v>
      </c>
      <c r="B7" s="10"/>
      <c r="C7" s="27">
        <v>245</v>
      </c>
      <c r="D7" s="38"/>
      <c r="E7" s="27">
        <v>1007</v>
      </c>
      <c r="F7" s="38"/>
      <c r="G7" s="9">
        <v>-3</v>
      </c>
      <c r="H7" s="10"/>
      <c r="I7" s="39" t="s">
        <v>13</v>
      </c>
      <c r="J7" s="10"/>
      <c r="K7" s="39" t="s">
        <v>13</v>
      </c>
      <c r="L7" s="10"/>
      <c r="M7" s="9">
        <v>-3</v>
      </c>
      <c r="N7" s="10"/>
      <c r="O7" s="27">
        <v>64</v>
      </c>
      <c r="P7" s="10"/>
      <c r="Q7" s="27">
        <v>54</v>
      </c>
      <c r="R7" s="10"/>
      <c r="S7" s="27">
        <v>231</v>
      </c>
      <c r="T7" s="27"/>
      <c r="U7" s="27"/>
      <c r="V7" s="56">
        <v>21</v>
      </c>
      <c r="W7" s="10"/>
      <c r="X7" s="10"/>
    </row>
    <row r="8" spans="1:24" s="1" customFormat="1" ht="11.25" customHeight="1">
      <c r="A8" s="25" t="s">
        <v>15</v>
      </c>
      <c r="B8" s="10"/>
      <c r="C8" s="27">
        <v>270</v>
      </c>
      <c r="D8" s="38"/>
      <c r="E8" s="27">
        <v>1128</v>
      </c>
      <c r="F8" s="38"/>
      <c r="G8" s="9">
        <v>-3</v>
      </c>
      <c r="H8" s="10"/>
      <c r="I8" s="39" t="s">
        <v>13</v>
      </c>
      <c r="J8" s="10"/>
      <c r="K8" s="39" t="s">
        <v>13</v>
      </c>
      <c r="L8" s="10"/>
      <c r="M8" s="9">
        <v>-3</v>
      </c>
      <c r="N8" s="10"/>
      <c r="O8" s="27">
        <v>66</v>
      </c>
      <c r="P8" s="10"/>
      <c r="Q8" s="27">
        <v>86</v>
      </c>
      <c r="R8" s="10"/>
      <c r="S8" s="27">
        <v>281</v>
      </c>
      <c r="T8" s="27"/>
      <c r="U8" s="27"/>
      <c r="V8" s="56">
        <v>21</v>
      </c>
      <c r="W8" s="10"/>
      <c r="X8" s="10"/>
    </row>
    <row r="9" spans="1:24" s="1" customFormat="1" ht="11.25" customHeight="1">
      <c r="A9" s="25" t="s">
        <v>16</v>
      </c>
      <c r="B9" s="10"/>
      <c r="C9" s="27">
        <v>293</v>
      </c>
      <c r="D9" s="38"/>
      <c r="E9" s="27">
        <v>1232</v>
      </c>
      <c r="F9" s="38"/>
      <c r="G9" s="9">
        <v>-3</v>
      </c>
      <c r="H9" s="10"/>
      <c r="I9" s="39" t="s">
        <v>13</v>
      </c>
      <c r="J9" s="10"/>
      <c r="K9" s="39" t="s">
        <v>13</v>
      </c>
      <c r="L9" s="10"/>
      <c r="M9" s="9">
        <v>-3</v>
      </c>
      <c r="N9" s="10"/>
      <c r="O9" s="27">
        <v>70</v>
      </c>
      <c r="P9" s="10"/>
      <c r="Q9" s="27">
        <v>83</v>
      </c>
      <c r="R9" s="10"/>
      <c r="S9" s="27">
        <v>168</v>
      </c>
      <c r="T9" s="27"/>
      <c r="U9" s="27"/>
      <c r="V9" s="56">
        <v>22</v>
      </c>
      <c r="W9" s="10"/>
      <c r="X9" s="10"/>
    </row>
    <row r="10" spans="1:24" s="1" customFormat="1" ht="11.25" customHeight="1">
      <c r="A10" s="25" t="s">
        <v>17</v>
      </c>
      <c r="B10" s="10"/>
      <c r="C10" s="27">
        <v>317</v>
      </c>
      <c r="D10" s="38"/>
      <c r="E10" s="27">
        <v>1413</v>
      </c>
      <c r="F10" s="38"/>
      <c r="G10" s="9">
        <v>-3</v>
      </c>
      <c r="H10" s="10"/>
      <c r="I10" s="39" t="s">
        <v>13</v>
      </c>
      <c r="J10" s="10"/>
      <c r="K10" s="39" t="s">
        <v>13</v>
      </c>
      <c r="L10" s="10"/>
      <c r="M10" s="9">
        <v>-3</v>
      </c>
      <c r="N10" s="10"/>
      <c r="O10" s="27">
        <v>73</v>
      </c>
      <c r="P10" s="10"/>
      <c r="Q10" s="27">
        <v>88</v>
      </c>
      <c r="R10" s="10"/>
      <c r="S10" s="27">
        <v>180</v>
      </c>
      <c r="T10" s="27"/>
      <c r="U10" s="27"/>
      <c r="V10" s="56">
        <v>25</v>
      </c>
      <c r="W10" s="10"/>
      <c r="X10" s="10"/>
    </row>
    <row r="11" spans="1:24" s="1" customFormat="1" ht="11.25" customHeight="1">
      <c r="A11" s="25" t="s">
        <v>18</v>
      </c>
      <c r="B11" s="10"/>
      <c r="C11" s="27">
        <v>335</v>
      </c>
      <c r="D11" s="38"/>
      <c r="E11" s="27">
        <v>1509</v>
      </c>
      <c r="F11" s="38"/>
      <c r="G11" s="9">
        <v>-3</v>
      </c>
      <c r="H11" s="10"/>
      <c r="I11" s="39" t="s">
        <v>13</v>
      </c>
      <c r="J11" s="10"/>
      <c r="K11" s="39" t="s">
        <v>13</v>
      </c>
      <c r="L11" s="10"/>
      <c r="M11" s="9">
        <v>-3</v>
      </c>
      <c r="N11" s="10"/>
      <c r="O11" s="27">
        <v>87</v>
      </c>
      <c r="P11" s="10"/>
      <c r="Q11" s="27">
        <v>90</v>
      </c>
      <c r="R11" s="10"/>
      <c r="S11" s="27">
        <v>105</v>
      </c>
      <c r="T11" s="27"/>
      <c r="U11" s="27"/>
      <c r="V11" s="56">
        <v>28</v>
      </c>
      <c r="W11" s="10"/>
      <c r="X11" s="10"/>
    </row>
    <row r="12" spans="1:24" s="1" customFormat="1" ht="11.25" customHeight="1">
      <c r="A12" s="25" t="s">
        <v>19</v>
      </c>
      <c r="B12" s="10"/>
      <c r="C12" s="27">
        <v>366</v>
      </c>
      <c r="D12" s="38"/>
      <c r="E12" s="27">
        <v>1671</v>
      </c>
      <c r="F12" s="38"/>
      <c r="G12" s="9">
        <v>-3</v>
      </c>
      <c r="H12" s="10"/>
      <c r="I12" s="39" t="s">
        <v>13</v>
      </c>
      <c r="J12" s="10"/>
      <c r="K12" s="39" t="s">
        <v>13</v>
      </c>
      <c r="L12" s="10"/>
      <c r="M12" s="9">
        <v>-3</v>
      </c>
      <c r="N12" s="10"/>
      <c r="O12" s="27">
        <v>90</v>
      </c>
      <c r="P12" s="10"/>
      <c r="Q12" s="27">
        <v>115</v>
      </c>
      <c r="R12" s="10"/>
      <c r="S12" s="27">
        <v>94</v>
      </c>
      <c r="T12" s="27"/>
      <c r="U12" s="27"/>
      <c r="V12" s="56">
        <v>29</v>
      </c>
      <c r="W12" s="10"/>
      <c r="X12" s="10"/>
    </row>
    <row r="13" spans="1:24" s="1" customFormat="1" ht="11.25" customHeight="1">
      <c r="A13" s="25" t="s">
        <v>20</v>
      </c>
      <c r="B13" s="10"/>
      <c r="C13" s="27">
        <v>363</v>
      </c>
      <c r="D13" s="38"/>
      <c r="E13" s="27">
        <v>1838</v>
      </c>
      <c r="F13" s="38"/>
      <c r="G13" s="9">
        <v>-3</v>
      </c>
      <c r="H13" s="10"/>
      <c r="I13" s="39" t="s">
        <v>13</v>
      </c>
      <c r="J13" s="10"/>
      <c r="K13" s="39" t="s">
        <v>13</v>
      </c>
      <c r="L13" s="10"/>
      <c r="M13" s="9">
        <v>-3</v>
      </c>
      <c r="N13" s="10"/>
      <c r="O13" s="27">
        <v>93</v>
      </c>
      <c r="P13" s="10"/>
      <c r="Q13" s="27">
        <v>116</v>
      </c>
      <c r="R13" s="10"/>
      <c r="S13" s="27">
        <v>131</v>
      </c>
      <c r="T13" s="27"/>
      <c r="U13" s="27"/>
      <c r="V13" s="56">
        <v>31</v>
      </c>
      <c r="W13" s="10"/>
      <c r="X13" s="10"/>
    </row>
    <row r="14" spans="1:24" s="1" customFormat="1" ht="11.25" customHeight="1">
      <c r="A14" s="25" t="s">
        <v>21</v>
      </c>
      <c r="B14" s="10"/>
      <c r="C14" s="27">
        <v>402</v>
      </c>
      <c r="D14" s="38"/>
      <c r="E14" s="27">
        <v>2009</v>
      </c>
      <c r="F14" s="38"/>
      <c r="G14" s="9">
        <v>-3</v>
      </c>
      <c r="H14" s="10"/>
      <c r="I14" s="39" t="s">
        <v>13</v>
      </c>
      <c r="J14" s="10"/>
      <c r="K14" s="39" t="s">
        <v>13</v>
      </c>
      <c r="L14" s="10"/>
      <c r="M14" s="9">
        <v>-3</v>
      </c>
      <c r="N14" s="10"/>
      <c r="O14" s="27">
        <v>97</v>
      </c>
      <c r="P14" s="10"/>
      <c r="Q14" s="27">
        <v>126</v>
      </c>
      <c r="R14" s="10"/>
      <c r="S14" s="27">
        <v>251</v>
      </c>
      <c r="T14" s="27"/>
      <c r="U14" s="27"/>
      <c r="V14" s="56">
        <v>33</v>
      </c>
      <c r="W14" s="10"/>
      <c r="X14" s="10"/>
    </row>
    <row r="15" spans="1:24" s="1" customFormat="1" ht="11.25" customHeight="1">
      <c r="A15" s="25" t="s">
        <v>22</v>
      </c>
      <c r="B15" s="10"/>
      <c r="C15" s="27">
        <v>411</v>
      </c>
      <c r="D15" s="38"/>
      <c r="E15" s="27">
        <v>2186</v>
      </c>
      <c r="F15" s="38"/>
      <c r="G15" s="9">
        <v>-3</v>
      </c>
      <c r="H15" s="10"/>
      <c r="I15" s="39" t="s">
        <v>13</v>
      </c>
      <c r="J15" s="10"/>
      <c r="K15" s="39" t="s">
        <v>13</v>
      </c>
      <c r="L15" s="10"/>
      <c r="M15" s="9">
        <v>-3</v>
      </c>
      <c r="N15" s="10"/>
      <c r="O15" s="27">
        <v>101</v>
      </c>
      <c r="P15" s="10"/>
      <c r="Q15" s="27">
        <v>128</v>
      </c>
      <c r="R15" s="10"/>
      <c r="S15" s="27">
        <v>284</v>
      </c>
      <c r="T15" s="27"/>
      <c r="U15" s="27"/>
      <c r="V15" s="56">
        <v>36</v>
      </c>
      <c r="W15" s="10"/>
      <c r="X15" s="10"/>
    </row>
    <row r="16" spans="1:24" s="1" customFormat="1" ht="11.25" customHeight="1">
      <c r="A16" s="25" t="s">
        <v>23</v>
      </c>
      <c r="B16" s="10"/>
      <c r="C16" s="27">
        <v>452</v>
      </c>
      <c r="D16" s="38"/>
      <c r="E16" s="27">
        <v>2347</v>
      </c>
      <c r="F16" s="38"/>
      <c r="G16" s="9">
        <v>-3</v>
      </c>
      <c r="H16" s="10"/>
      <c r="I16" s="39" t="s">
        <v>13</v>
      </c>
      <c r="J16" s="10"/>
      <c r="K16" s="39" t="s">
        <v>13</v>
      </c>
      <c r="L16" s="10"/>
      <c r="M16" s="9">
        <v>-3</v>
      </c>
      <c r="N16" s="10"/>
      <c r="O16" s="27">
        <v>104</v>
      </c>
      <c r="P16" s="10"/>
      <c r="Q16" s="27">
        <v>135</v>
      </c>
      <c r="R16" s="10"/>
      <c r="S16" s="27">
        <v>339</v>
      </c>
      <c r="T16" s="27"/>
      <c r="U16" s="27"/>
      <c r="V16" s="56">
        <v>39</v>
      </c>
      <c r="W16" s="10"/>
      <c r="X16" s="10"/>
    </row>
    <row r="17" spans="1:24" s="1" customFormat="1" ht="11.25" customHeight="1">
      <c r="A17" s="25" t="s">
        <v>24</v>
      </c>
      <c r="B17" s="10"/>
      <c r="C17" s="27">
        <v>512</v>
      </c>
      <c r="D17" s="38"/>
      <c r="E17" s="27">
        <v>2611</v>
      </c>
      <c r="F17" s="38"/>
      <c r="G17" s="9">
        <v>-3</v>
      </c>
      <c r="H17" s="10"/>
      <c r="I17" s="39" t="s">
        <v>13</v>
      </c>
      <c r="J17" s="10"/>
      <c r="K17" s="39" t="s">
        <v>13</v>
      </c>
      <c r="L17" s="10"/>
      <c r="M17" s="9">
        <v>-3</v>
      </c>
      <c r="N17" s="10"/>
      <c r="O17" s="27">
        <v>105</v>
      </c>
      <c r="P17" s="10"/>
      <c r="Q17" s="27">
        <v>148</v>
      </c>
      <c r="R17" s="10"/>
      <c r="S17" s="27">
        <v>345</v>
      </c>
      <c r="T17" s="27"/>
      <c r="U17" s="27"/>
      <c r="V17" s="56">
        <v>50</v>
      </c>
      <c r="W17" s="10"/>
      <c r="X17" s="10"/>
    </row>
    <row r="18" spans="1:24" s="1" customFormat="1" ht="11.25" customHeight="1">
      <c r="A18" s="25" t="s">
        <v>25</v>
      </c>
      <c r="B18" s="10"/>
      <c r="C18" s="27">
        <v>542</v>
      </c>
      <c r="D18" s="38"/>
      <c r="E18" s="27">
        <v>2530</v>
      </c>
      <c r="F18" s="38"/>
      <c r="G18" s="9">
        <v>-3</v>
      </c>
      <c r="H18" s="10"/>
      <c r="I18" s="10"/>
      <c r="J18" s="10"/>
      <c r="K18" s="10"/>
      <c r="L18" s="10"/>
      <c r="M18" s="9">
        <v>-3</v>
      </c>
      <c r="N18" s="10"/>
      <c r="O18" s="27">
        <v>118</v>
      </c>
      <c r="P18" s="10"/>
      <c r="Q18" s="27">
        <v>145</v>
      </c>
      <c r="R18" s="10"/>
      <c r="S18" s="27">
        <v>373</v>
      </c>
      <c r="T18" s="27"/>
      <c r="U18" s="27"/>
      <c r="V18" s="56">
        <v>47</v>
      </c>
      <c r="W18" s="10"/>
      <c r="X18" s="10"/>
    </row>
    <row r="19" spans="1:24" s="1" customFormat="1" ht="11.25" customHeight="1">
      <c r="A19" s="25" t="s">
        <v>26</v>
      </c>
      <c r="B19" s="10"/>
      <c r="C19" s="27">
        <v>583</v>
      </c>
      <c r="D19" s="38"/>
      <c r="E19" s="27">
        <v>2711</v>
      </c>
      <c r="F19" s="38"/>
      <c r="G19" s="9">
        <v>-3</v>
      </c>
      <c r="H19" s="10"/>
      <c r="I19" s="39" t="s">
        <v>13</v>
      </c>
      <c r="J19" s="10"/>
      <c r="K19" s="39" t="s">
        <v>13</v>
      </c>
      <c r="L19" s="10"/>
      <c r="M19" s="9">
        <v>-3</v>
      </c>
      <c r="N19" s="10"/>
      <c r="O19" s="27">
        <v>126</v>
      </c>
      <c r="P19" s="10"/>
      <c r="Q19" s="27">
        <v>156</v>
      </c>
      <c r="R19" s="10"/>
      <c r="S19" s="27">
        <v>501</v>
      </c>
      <c r="T19" s="27"/>
      <c r="U19" s="27"/>
      <c r="V19" s="56">
        <v>49</v>
      </c>
      <c r="W19" s="10"/>
      <c r="X19" s="10"/>
    </row>
    <row r="20" spans="1:24" s="1" customFormat="1" ht="11.25" customHeight="1">
      <c r="A20" s="25" t="s">
        <v>27</v>
      </c>
      <c r="B20" s="10"/>
      <c r="C20" s="27">
        <v>668</v>
      </c>
      <c r="D20" s="38"/>
      <c r="E20" s="27">
        <v>2874</v>
      </c>
      <c r="F20" s="38"/>
      <c r="G20" s="9">
        <v>-3</v>
      </c>
      <c r="H20" s="10"/>
      <c r="I20" s="36" t="s">
        <v>12</v>
      </c>
      <c r="J20" s="10"/>
      <c r="K20" s="37" t="s">
        <v>13</v>
      </c>
      <c r="L20" s="10"/>
      <c r="M20" s="9">
        <v>-3</v>
      </c>
      <c r="N20" s="10"/>
      <c r="O20" s="27">
        <v>138</v>
      </c>
      <c r="P20" s="10"/>
      <c r="Q20" s="27">
        <v>170</v>
      </c>
      <c r="R20" s="10"/>
      <c r="S20" s="27">
        <v>639</v>
      </c>
      <c r="T20" s="27"/>
      <c r="U20" s="27"/>
      <c r="V20" s="56">
        <v>53</v>
      </c>
      <c r="W20" s="10"/>
      <c r="X20" s="10"/>
    </row>
    <row r="21" spans="1:24" s="1" customFormat="1" ht="11.25" customHeight="1">
      <c r="A21" s="25" t="s">
        <v>28</v>
      </c>
      <c r="B21" s="10"/>
      <c r="C21" s="27">
        <v>811.06</v>
      </c>
      <c r="D21" s="38"/>
      <c r="E21" s="27">
        <v>3287.27</v>
      </c>
      <c r="F21" s="38"/>
      <c r="G21" s="9">
        <v>-3</v>
      </c>
      <c r="H21" s="10"/>
      <c r="I21" s="39" t="s">
        <v>13</v>
      </c>
      <c r="J21" s="10"/>
      <c r="K21" s="39" t="s">
        <v>13</v>
      </c>
      <c r="L21" s="10"/>
      <c r="M21" s="9">
        <v>-3</v>
      </c>
      <c r="N21" s="10"/>
      <c r="O21" s="27">
        <v>154.4</v>
      </c>
      <c r="P21" s="10"/>
      <c r="Q21" s="27">
        <v>191.47</v>
      </c>
      <c r="R21" s="10"/>
      <c r="S21" s="27">
        <v>736.14</v>
      </c>
      <c r="T21" s="27"/>
      <c r="U21" s="27"/>
      <c r="V21" s="56">
        <v>61.3</v>
      </c>
      <c r="W21" s="10"/>
      <c r="X21" s="10"/>
    </row>
    <row r="22" spans="1:24" s="1" customFormat="1" ht="11.25" customHeight="1">
      <c r="A22" s="25" t="s">
        <v>29</v>
      </c>
      <c r="B22" s="10"/>
      <c r="C22" s="27">
        <v>902.38</v>
      </c>
      <c r="D22" s="38"/>
      <c r="E22" s="27">
        <v>3652.75</v>
      </c>
      <c r="F22" s="38"/>
      <c r="G22" s="9">
        <v>-3</v>
      </c>
      <c r="H22" s="10"/>
      <c r="I22" s="39" t="s">
        <v>13</v>
      </c>
      <c r="J22" s="10"/>
      <c r="K22" s="39" t="s">
        <v>13</v>
      </c>
      <c r="L22" s="10"/>
      <c r="M22" s="9">
        <v>-3</v>
      </c>
      <c r="N22" s="10"/>
      <c r="O22" s="27">
        <v>170.4</v>
      </c>
      <c r="P22" s="10"/>
      <c r="Q22" s="27">
        <v>216.5</v>
      </c>
      <c r="R22" s="10"/>
      <c r="S22" s="27">
        <v>907.79</v>
      </c>
      <c r="T22" s="27"/>
      <c r="U22" s="27"/>
      <c r="V22" s="56">
        <v>68.52</v>
      </c>
      <c r="W22" s="10"/>
      <c r="X22" s="10"/>
    </row>
    <row r="23" spans="1:24" s="1" customFormat="1" ht="11.25" customHeight="1">
      <c r="A23" s="25" t="s">
        <v>30</v>
      </c>
      <c r="B23" s="10"/>
      <c r="C23" s="27">
        <v>971</v>
      </c>
      <c r="D23" s="38"/>
      <c r="E23" s="27">
        <v>3310</v>
      </c>
      <c r="F23" s="38"/>
      <c r="G23" s="9">
        <v>-3</v>
      </c>
      <c r="H23" s="10"/>
      <c r="I23" s="39" t="s">
        <v>13</v>
      </c>
      <c r="J23" s="10"/>
      <c r="K23" s="39" t="s">
        <v>13</v>
      </c>
      <c r="L23" s="10"/>
      <c r="M23" s="9">
        <v>-3</v>
      </c>
      <c r="N23" s="27"/>
      <c r="O23" s="27">
        <v>187</v>
      </c>
      <c r="P23" s="27"/>
      <c r="Q23" s="27">
        <v>243</v>
      </c>
      <c r="R23" s="27"/>
      <c r="S23" s="27">
        <v>968</v>
      </c>
      <c r="T23" s="27"/>
      <c r="U23" s="27"/>
      <c r="V23" s="56">
        <v>80</v>
      </c>
      <c r="W23" s="10"/>
      <c r="X23" s="10"/>
    </row>
    <row r="24" spans="1:24" s="1" customFormat="1" ht="11.25" customHeight="1">
      <c r="A24" s="25" t="s">
        <v>31</v>
      </c>
      <c r="B24" s="10"/>
      <c r="C24" s="27">
        <v>1013</v>
      </c>
      <c r="D24" s="38"/>
      <c r="E24" s="27">
        <v>3647</v>
      </c>
      <c r="F24" s="38"/>
      <c r="G24" s="9">
        <v>-3</v>
      </c>
      <c r="H24" s="10"/>
      <c r="I24" s="39" t="s">
        <v>13</v>
      </c>
      <c r="J24" s="10"/>
      <c r="K24" s="39" t="s">
        <v>13</v>
      </c>
      <c r="L24" s="10"/>
      <c r="M24" s="9">
        <v>-3</v>
      </c>
      <c r="N24" s="10"/>
      <c r="O24" s="40">
        <v>195</v>
      </c>
      <c r="P24" s="10"/>
      <c r="Q24" s="40">
        <v>252</v>
      </c>
      <c r="R24" s="10"/>
      <c r="S24" s="27">
        <v>1032</v>
      </c>
      <c r="T24" s="27"/>
      <c r="U24" s="27"/>
      <c r="V24" s="56">
        <v>88</v>
      </c>
      <c r="W24" s="10"/>
      <c r="X24" s="10"/>
    </row>
    <row r="25" spans="1:24" s="1" customFormat="1" ht="11.25" customHeight="1">
      <c r="A25" s="25" t="s">
        <v>32</v>
      </c>
      <c r="B25" s="10"/>
      <c r="C25" s="27">
        <v>1006</v>
      </c>
      <c r="D25" s="27"/>
      <c r="E25" s="27">
        <v>3588</v>
      </c>
      <c r="F25" s="27"/>
      <c r="G25" s="9">
        <v>-3</v>
      </c>
      <c r="H25" s="10"/>
      <c r="I25" s="39" t="s">
        <v>13</v>
      </c>
      <c r="J25" s="10"/>
      <c r="K25" s="39" t="s">
        <v>13</v>
      </c>
      <c r="L25" s="10"/>
      <c r="M25" s="9">
        <v>-3</v>
      </c>
      <c r="N25" s="27"/>
      <c r="O25" s="27">
        <v>197</v>
      </c>
      <c r="P25" s="27"/>
      <c r="Q25" s="27">
        <v>252</v>
      </c>
      <c r="R25" s="27"/>
      <c r="S25" s="27">
        <v>1010</v>
      </c>
      <c r="T25" s="27"/>
      <c r="U25" s="27"/>
      <c r="V25" s="56">
        <v>95</v>
      </c>
      <c r="W25" s="10"/>
      <c r="X25" s="10"/>
    </row>
    <row r="26" spans="1:24" s="1" customFormat="1" ht="11.25" customHeight="1">
      <c r="A26" s="25">
        <v>1995</v>
      </c>
      <c r="B26" s="10"/>
      <c r="C26" s="27">
        <v>1047</v>
      </c>
      <c r="D26" s="27"/>
      <c r="E26" s="27">
        <v>3819</v>
      </c>
      <c r="F26" s="27"/>
      <c r="G26" s="9">
        <v>-3</v>
      </c>
      <c r="H26" s="10"/>
      <c r="I26" s="39" t="s">
        <v>13</v>
      </c>
      <c r="J26" s="10"/>
      <c r="K26" s="39" t="s">
        <v>13</v>
      </c>
      <c r="L26" s="10"/>
      <c r="M26" s="9">
        <v>-3</v>
      </c>
      <c r="N26" s="27"/>
      <c r="O26" s="27">
        <v>200</v>
      </c>
      <c r="P26" s="27"/>
      <c r="Q26" s="27">
        <v>252</v>
      </c>
      <c r="R26" s="27"/>
      <c r="S26" s="27">
        <v>1589</v>
      </c>
      <c r="T26" s="27"/>
      <c r="U26" s="27"/>
      <c r="V26" s="56">
        <v>104</v>
      </c>
      <c r="W26" s="10"/>
      <c r="X26" s="10"/>
    </row>
    <row r="27" spans="1:24" s="1" customFormat="1" ht="11.25" customHeight="1">
      <c r="A27" s="25">
        <v>1996</v>
      </c>
      <c r="B27" s="10"/>
      <c r="C27" s="27">
        <v>1048</v>
      </c>
      <c r="D27" s="27"/>
      <c r="E27" s="27">
        <v>3627</v>
      </c>
      <c r="F27" s="27"/>
      <c r="G27" s="9">
        <v>-3</v>
      </c>
      <c r="H27" s="10"/>
      <c r="I27" s="39" t="s">
        <v>13</v>
      </c>
      <c r="J27" s="10"/>
      <c r="K27" s="39" t="s">
        <v>13</v>
      </c>
      <c r="L27" s="10"/>
      <c r="M27" s="9">
        <v>-3</v>
      </c>
      <c r="N27" s="27"/>
      <c r="O27" s="27">
        <v>205</v>
      </c>
      <c r="P27" s="27"/>
      <c r="Q27" s="27">
        <v>246</v>
      </c>
      <c r="R27" s="27"/>
      <c r="S27" s="27">
        <v>1855</v>
      </c>
      <c r="T27" s="27"/>
      <c r="U27" s="27"/>
      <c r="V27" s="56">
        <v>112</v>
      </c>
      <c r="W27" s="10"/>
      <c r="X27" s="10"/>
    </row>
    <row r="28" spans="1:24" s="1" customFormat="1" ht="11.25" customHeight="1">
      <c r="A28" s="25">
        <v>1997</v>
      </c>
      <c r="B28" s="10"/>
      <c r="C28" s="27">
        <f>17543903669/15790671</f>
        <v>1111.029649658333</v>
      </c>
      <c r="D28" s="27"/>
      <c r="E28" s="27">
        <f>5570658622/1363084</f>
        <v>4086.8050846462875</v>
      </c>
      <c r="F28" s="27"/>
      <c r="G28" s="9">
        <v>-3</v>
      </c>
      <c r="H28" s="10"/>
      <c r="I28" s="39" t="s">
        <v>13</v>
      </c>
      <c r="J28" s="10"/>
      <c r="K28" s="39" t="s">
        <v>13</v>
      </c>
      <c r="L28" s="10"/>
      <c r="M28" s="9">
        <v>-3</v>
      </c>
      <c r="N28" s="27"/>
      <c r="O28" s="27">
        <f>1925770716/9370219</f>
        <v>205.52035293945639</v>
      </c>
      <c r="P28" s="27"/>
      <c r="Q28" s="27">
        <f>1414265621/5472175</f>
        <v>258.44670921525721</v>
      </c>
      <c r="R28" s="27"/>
      <c r="S28" s="27">
        <f>534041730/308783</f>
        <v>1729.5049597937709</v>
      </c>
      <c r="T28" s="27"/>
      <c r="U28" s="27"/>
      <c r="V28" s="56">
        <f>1099080278/9128860</f>
        <v>120.3962245011973</v>
      </c>
      <c r="W28" s="10"/>
      <c r="X28" s="10"/>
    </row>
    <row r="29" spans="1:24" s="1" customFormat="1" ht="11.25" customHeight="1">
      <c r="A29" s="25">
        <v>1998</v>
      </c>
      <c r="B29" s="10"/>
      <c r="C29" s="27">
        <f>22896092347/18969125</f>
        <v>1207.0188976560596</v>
      </c>
      <c r="D29" s="27"/>
      <c r="E29" s="27">
        <f>5138358304/1199475</f>
        <v>4283.839433085308</v>
      </c>
      <c r="F29" s="27"/>
      <c r="G29" s="9">
        <v>-3</v>
      </c>
      <c r="H29" s="10"/>
      <c r="I29" s="39" t="s">
        <v>13</v>
      </c>
      <c r="J29" s="10"/>
      <c r="K29" s="39" t="s">
        <v>13</v>
      </c>
      <c r="L29" s="10"/>
      <c r="M29" s="9">
        <v>-3</v>
      </c>
      <c r="N29" s="27"/>
      <c r="O29" s="27">
        <f>1643852462/7846733</f>
        <v>209.49514428488902</v>
      </c>
      <c r="P29" s="27"/>
      <c r="Q29" s="27">
        <f>1239600145/4776380</f>
        <v>259.52711991089484</v>
      </c>
      <c r="R29" s="27"/>
      <c r="S29" s="27">
        <f>145274806/206289</f>
        <v>704.22953235509408</v>
      </c>
      <c r="T29" s="27"/>
      <c r="U29" s="27"/>
      <c r="V29" s="56">
        <f>1130727373/8168096</f>
        <v>138.43218456296302</v>
      </c>
      <c r="W29" s="10"/>
      <c r="X29" s="10"/>
    </row>
    <row r="30" spans="1:24" s="1" customFormat="1" ht="11.25" customHeight="1">
      <c r="A30" s="25">
        <v>1999</v>
      </c>
      <c r="B30" s="10"/>
      <c r="C30" s="27">
        <f>24151236446/18836970</f>
        <v>1282.1189631878162</v>
      </c>
      <c r="D30" s="27"/>
      <c r="E30" s="27">
        <f>4495114293/1151718</f>
        <v>3902.9643480435316</v>
      </c>
      <c r="F30" s="27"/>
      <c r="G30" s="9">
        <v>-3</v>
      </c>
      <c r="H30" s="10"/>
      <c r="I30" s="39" t="s">
        <v>13</v>
      </c>
      <c r="J30" s="10"/>
      <c r="K30" s="39" t="s">
        <v>13</v>
      </c>
      <c r="L30" s="10"/>
      <c r="M30" s="9">
        <v>-3</v>
      </c>
      <c r="N30" s="27"/>
      <c r="O30" s="27">
        <f>1862038256/7616856</f>
        <v>244.46284083616652</v>
      </c>
      <c r="P30" s="27"/>
      <c r="Q30" s="27">
        <f>1270458283/4617251</f>
        <v>275.15469334458965</v>
      </c>
      <c r="R30" s="27"/>
      <c r="S30" s="27">
        <f>140999969/132463</f>
        <v>1064.4479515034386</v>
      </c>
      <c r="T30" s="27"/>
      <c r="U30" s="27"/>
      <c r="V30" s="56">
        <f>1308235677/8118061</f>
        <v>161.15124991053898</v>
      </c>
      <c r="W30" s="10"/>
      <c r="X30" s="10"/>
    </row>
    <row r="31" spans="1:24" s="1" customFormat="1" ht="11.25" customHeight="1">
      <c r="A31" s="25">
        <v>2000</v>
      </c>
      <c r="B31" s="10"/>
      <c r="C31" s="27">
        <f>26774664587/19723045</f>
        <v>1357.531993006151</v>
      </c>
      <c r="D31" s="27"/>
      <c r="E31" s="27">
        <f>4897766378/1274223</f>
        <v>3843.7278074559949</v>
      </c>
      <c r="F31" s="27"/>
      <c r="G31" s="9">
        <v>-3</v>
      </c>
      <c r="H31" s="10"/>
      <c r="I31" s="39" t="s">
        <v>13</v>
      </c>
      <c r="J31" s="10"/>
      <c r="K31" s="39" t="s">
        <v>13</v>
      </c>
      <c r="L31" s="10"/>
      <c r="M31" s="9">
        <v>-3</v>
      </c>
      <c r="N31" s="27"/>
      <c r="O31" s="27">
        <f>1930927730/7847897</f>
        <v>246.04396948634775</v>
      </c>
      <c r="P31" s="27"/>
      <c r="Q31" s="27">
        <f>1433232809/4922780</f>
        <v>291.14297388873769</v>
      </c>
      <c r="R31" s="27"/>
      <c r="S31" s="27">
        <f>149513493/189789</f>
        <v>787.78798033605744</v>
      </c>
      <c r="T31" s="27"/>
      <c r="U31" s="27"/>
      <c r="V31" s="57">
        <f>1562415633/8316182</f>
        <v>187.87655597244023</v>
      </c>
      <c r="W31" s="10"/>
      <c r="X31" s="10"/>
    </row>
    <row r="32" spans="1:24" s="1" customFormat="1" ht="11.25" customHeight="1">
      <c r="A32" s="25">
        <v>2001</v>
      </c>
      <c r="B32" s="10"/>
      <c r="C32" s="27">
        <f>30635741249/21064244</f>
        <v>1454.3954793250591</v>
      </c>
      <c r="D32" s="27"/>
      <c r="E32" s="27">
        <f>5264779114/1314157</f>
        <v>4006.2025420098207</v>
      </c>
      <c r="F32" s="27"/>
      <c r="G32" s="9">
        <v>-3</v>
      </c>
      <c r="H32" s="10"/>
      <c r="I32" s="39" t="s">
        <v>13</v>
      </c>
      <c r="J32" s="10"/>
      <c r="K32" s="39" t="s">
        <v>13</v>
      </c>
      <c r="L32" s="10"/>
      <c r="M32" s="9">
        <v>-3</v>
      </c>
      <c r="N32" s="27"/>
      <c r="O32" s="27">
        <f>2202504095/8363721</f>
        <v>263.34021603542249</v>
      </c>
      <c r="P32" s="27"/>
      <c r="Q32" s="27">
        <f>1634641107/5283789</f>
        <v>309.36911125709219</v>
      </c>
      <c r="R32" s="27"/>
      <c r="S32" s="27">
        <f>165728580/208369</f>
        <v>795.36101819368525</v>
      </c>
      <c r="T32" s="27"/>
      <c r="U32" s="27"/>
      <c r="V32" s="57">
        <f>2006001314/8953617</f>
        <v>224.04368134129481</v>
      </c>
      <c r="W32" s="10"/>
      <c r="X32" s="10"/>
    </row>
    <row r="33" spans="1:24" s="1" customFormat="1" ht="11.25" customHeight="1">
      <c r="A33" s="25">
        <v>2002</v>
      </c>
      <c r="B33" s="10"/>
      <c r="C33" s="27">
        <f>35890359880/23227200</f>
        <v>1545.1866725218708</v>
      </c>
      <c r="D33" s="27"/>
      <c r="E33" s="27">
        <f>5741781573/1333685</f>
        <v>4305.2006830698401</v>
      </c>
      <c r="F33" s="27"/>
      <c r="G33" s="9">
        <v>-3</v>
      </c>
      <c r="H33" s="10"/>
      <c r="I33" s="39" t="s">
        <v>13</v>
      </c>
      <c r="J33" s="10"/>
      <c r="K33" s="39" t="s">
        <v>13</v>
      </c>
      <c r="L33" s="10"/>
      <c r="M33" s="9">
        <v>-3</v>
      </c>
      <c r="N33" s="27"/>
      <c r="O33" s="27">
        <f>2504769702/9265221</f>
        <v>270.34106385589723</v>
      </c>
      <c r="P33" s="27"/>
      <c r="Q33" s="27">
        <f>1858238872/5768177</f>
        <v>322.15358023860921</v>
      </c>
      <c r="R33" s="27"/>
      <c r="S33" s="27">
        <f>198476325/226988</f>
        <v>874.39126737977335</v>
      </c>
      <c r="T33" s="27"/>
      <c r="U33" s="27"/>
      <c r="V33" s="57">
        <f>2562094692/9929791</f>
        <v>258.02100890139582</v>
      </c>
      <c r="W33" s="10"/>
      <c r="X33" s="10"/>
    </row>
    <row r="34" spans="1:24" s="1" customFormat="1" ht="11.25" customHeight="1">
      <c r="A34" s="25">
        <v>2003</v>
      </c>
      <c r="B34" s="10"/>
      <c r="C34" s="27">
        <f>39870763353/24831190</f>
        <v>1605.6726783130409</v>
      </c>
      <c r="D34" s="27"/>
      <c r="E34" s="27">
        <f>6022924796/1380034</f>
        <v>4364.3307309819902</v>
      </c>
      <c r="F34" s="27"/>
      <c r="G34" s="9">
        <v>-3</v>
      </c>
      <c r="H34" s="10"/>
      <c r="I34" s="39" t="s">
        <v>13</v>
      </c>
      <c r="J34" s="10"/>
      <c r="K34" s="39" t="s">
        <v>13</v>
      </c>
      <c r="L34" s="10"/>
      <c r="M34" s="9">
        <v>-3</v>
      </c>
      <c r="N34" s="27"/>
      <c r="O34" s="27">
        <f>2784440666/9784539</f>
        <v>284.57556007493048</v>
      </c>
      <c r="P34" s="27"/>
      <c r="Q34" s="27">
        <f>2057081131/6075387</f>
        <v>338.59260833918893</v>
      </c>
      <c r="R34" s="27"/>
      <c r="S34" s="27">
        <f>211253398/247912</f>
        <v>852.13058665978247</v>
      </c>
      <c r="T34" s="27"/>
      <c r="U34" s="27"/>
      <c r="V34" s="57">
        <f>3223432803/10817692</f>
        <v>297.97786838449457</v>
      </c>
      <c r="W34" s="10"/>
      <c r="X34" s="10"/>
    </row>
    <row r="35" spans="1:24" s="1" customFormat="1" ht="11.25" customHeight="1">
      <c r="A35" s="25">
        <v>2004</v>
      </c>
      <c r="B35" s="10"/>
      <c r="C35" s="27">
        <f>44204834742/26459023</f>
        <v>1670.6903630568672</v>
      </c>
      <c r="D35" s="27"/>
      <c r="E35" s="27">
        <f>6528024097/1494080</f>
        <v>4369.2600777736134</v>
      </c>
      <c r="F35" s="27"/>
      <c r="G35" s="9">
        <v>-3</v>
      </c>
      <c r="H35" s="10"/>
      <c r="I35" s="39" t="s">
        <v>13</v>
      </c>
      <c r="J35" s="10"/>
      <c r="K35" s="39" t="s">
        <v>13</v>
      </c>
      <c r="L35" s="10"/>
      <c r="M35" s="9">
        <v>-3</v>
      </c>
      <c r="N35" s="27"/>
      <c r="O35" s="27">
        <f>3058015856/10285206</f>
        <v>297.32178976288856</v>
      </c>
      <c r="P35" s="27"/>
      <c r="Q35" s="27">
        <f>2312398810/6342329</f>
        <v>364.59773846484472</v>
      </c>
      <c r="R35" s="27"/>
      <c r="S35" s="27">
        <f>217654295/241907</f>
        <v>899.74368248955182</v>
      </c>
      <c r="T35" s="27"/>
      <c r="U35" s="27"/>
      <c r="V35" s="57">
        <f>3867063669/11549979</f>
        <v>334.81131602057457</v>
      </c>
      <c r="W35" s="10"/>
      <c r="X35" s="10"/>
    </row>
    <row r="36" spans="1:24" s="1" customFormat="1" ht="11.25" customHeight="1">
      <c r="A36" s="25">
        <v>2005</v>
      </c>
      <c r="B36" s="10"/>
      <c r="C36" s="27">
        <f>46846073176/27096133</f>
        <v>1728.884087482151</v>
      </c>
      <c r="D36" s="27"/>
      <c r="E36" s="27">
        <f>6630166874/1484671</f>
        <v>4465.748218965683</v>
      </c>
      <c r="F36" s="27"/>
      <c r="G36" s="9">
        <v>-3</v>
      </c>
      <c r="H36" s="10"/>
      <c r="I36" s="39" t="s">
        <v>13</v>
      </c>
      <c r="J36" s="10"/>
      <c r="K36" s="39" t="s">
        <v>13</v>
      </c>
      <c r="L36" s="10"/>
      <c r="M36" s="9">
        <v>-3</v>
      </c>
      <c r="N36" s="27"/>
      <c r="O36" s="27">
        <f>3247806573/10359918</f>
        <v>313.497324303146</v>
      </c>
      <c r="P36" s="27"/>
      <c r="Q36" s="27">
        <f>2269074662/6304548</f>
        <v>359.91075997835213</v>
      </c>
      <c r="R36" s="27"/>
      <c r="S36" s="27">
        <f>241946382/252184</f>
        <v>959.40417314341914</v>
      </c>
      <c r="T36" s="27"/>
      <c r="U36" s="27"/>
      <c r="V36" s="57">
        <f>4206403404/11774306</f>
        <v>357.25276750918482</v>
      </c>
      <c r="W36" s="10"/>
      <c r="X36" s="10"/>
    </row>
    <row r="37" spans="1:24" s="1" customFormat="1" ht="11.25" customHeight="1">
      <c r="A37" s="25">
        <v>2006</v>
      </c>
      <c r="B37" s="10"/>
      <c r="C37" s="27">
        <f>49611566370/27437862</f>
        <v>1808.1425721144017</v>
      </c>
      <c r="D37" s="27"/>
      <c r="E37" s="27">
        <f>6852957046/1719452</f>
        <v>3985.5471661901584</v>
      </c>
      <c r="F37" s="27"/>
      <c r="G37" s="9">
        <v>-3</v>
      </c>
      <c r="H37" s="10"/>
      <c r="I37" s="39" t="s">
        <v>13</v>
      </c>
      <c r="J37" s="10"/>
      <c r="K37" s="39" t="s">
        <v>13</v>
      </c>
      <c r="L37" s="10"/>
      <c r="M37" s="9">
        <v>-3</v>
      </c>
      <c r="N37" s="27"/>
      <c r="O37" s="27">
        <f>3120641513/10063464</f>
        <v>310.09615704890484</v>
      </c>
      <c r="P37" s="27"/>
      <c r="Q37" s="27">
        <f>2335983776/6171036</f>
        <v>378.53996897765626</v>
      </c>
      <c r="R37" s="27"/>
      <c r="S37" s="27">
        <f>256137965/245714</f>
        <v>1042.4231627013519</v>
      </c>
      <c r="T37" s="27"/>
      <c r="U37" s="27"/>
      <c r="V37" s="57">
        <f>4256968237/11493752</f>
        <v>370.37237596565507</v>
      </c>
      <c r="W37" s="10"/>
      <c r="X37" s="10"/>
    </row>
    <row r="38" spans="1:24" s="1" customFormat="1" ht="11.25" customHeight="1">
      <c r="A38" s="25">
        <v>2007</v>
      </c>
      <c r="B38" s="10"/>
      <c r="C38" s="27">
        <f>53716279932/27526869</f>
        <v>1951.41263367076</v>
      </c>
      <c r="D38" s="27"/>
      <c r="E38" s="27">
        <f>6909902110/1388182</f>
        <v>4977.6629505353048</v>
      </c>
      <c r="F38" s="27"/>
      <c r="G38" s="9">
        <v>-3</v>
      </c>
      <c r="H38" s="10"/>
      <c r="I38" s="39" t="s">
        <v>13</v>
      </c>
      <c r="J38" s="10"/>
      <c r="K38" s="39" t="s">
        <v>13</v>
      </c>
      <c r="L38" s="10"/>
      <c r="M38" s="9">
        <v>-3</v>
      </c>
      <c r="N38" s="27"/>
      <c r="O38" s="27">
        <f>2901076903/9401499</f>
        <v>308.57599442386794</v>
      </c>
      <c r="P38" s="27"/>
      <c r="Q38" s="27">
        <f>2293306169/5656595</f>
        <v>405.42166603760745</v>
      </c>
      <c r="R38" s="27"/>
      <c r="S38" s="27">
        <f>263885406/240224</f>
        <v>1098.4972608898361</v>
      </c>
      <c r="T38" s="27"/>
      <c r="U38" s="27"/>
      <c r="V38" s="57">
        <f>4501979207/11014779</f>
        <v>408.72170081669367</v>
      </c>
      <c r="W38" s="10"/>
      <c r="X38" s="10"/>
    </row>
    <row r="39" spans="1:24" s="1" customFormat="1" ht="11.25" customHeight="1">
      <c r="A39" s="25">
        <v>2008</v>
      </c>
      <c r="B39" s="10"/>
      <c r="C39" s="27">
        <f>57136620526/28071065</f>
        <v>2035.4276022658919</v>
      </c>
      <c r="D39" s="27"/>
      <c r="E39" s="27">
        <f>7287734271/1474465</f>
        <v>4942.6295442753808</v>
      </c>
      <c r="F39" s="27"/>
      <c r="G39" s="9">
        <v>-3</v>
      </c>
      <c r="H39" s="10"/>
      <c r="I39" s="39" t="s">
        <v>13</v>
      </c>
      <c r="J39" s="10"/>
      <c r="K39" s="39" t="s">
        <v>13</v>
      </c>
      <c r="L39" s="10"/>
      <c r="M39" s="9">
        <v>-3</v>
      </c>
      <c r="N39" s="27"/>
      <c r="O39" s="27">
        <f>3048177957/9094929</f>
        <v>335.15137468362866</v>
      </c>
      <c r="P39" s="27"/>
      <c r="Q39" s="27">
        <f>2410664920/5552053</f>
        <v>434.19342718810503</v>
      </c>
      <c r="R39" s="27"/>
      <c r="S39" s="27">
        <f>247689193/207911</f>
        <v>1191.3231767438951</v>
      </c>
      <c r="T39" s="27"/>
      <c r="U39" s="27"/>
      <c r="V39" s="57">
        <f>4837792205/11163681</f>
        <v>433.35098924808045</v>
      </c>
      <c r="W39" s="10"/>
      <c r="X39" s="10"/>
    </row>
    <row r="40" spans="1:24" s="1" customFormat="1" ht="10.15" customHeight="1">
      <c r="A40" s="41" t="s">
        <v>33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s="1" customFormat="1" ht="10.1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</row>
    <row r="46" spans="1:24" s="1" customFormat="1" ht="11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</row>
    <row r="47" spans="1:24" s="3" customFormat="1" ht="15" customHeight="1">
      <c r="A47" s="63" t="s">
        <v>40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"/>
    </row>
    <row r="48" spans="1:24" s="51" customFormat="1" ht="13.15" customHeight="1">
      <c r="A48" s="52" t="s">
        <v>49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0"/>
    </row>
    <row r="49" spans="1:24" s="4" customFormat="1" ht="13.15" customHeight="1">
      <c r="A49" s="53" t="s">
        <v>59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7"/>
    </row>
    <row r="50" spans="1:24" s="1" customFormat="1" ht="10.15" customHeight="1">
      <c r="A50" s="24" t="s">
        <v>34</v>
      </c>
      <c r="B50" s="21"/>
      <c r="C50" s="21"/>
      <c r="D50" s="21"/>
      <c r="E50" s="22" t="s">
        <v>0</v>
      </c>
      <c r="F50" s="23"/>
      <c r="G50" s="21"/>
      <c r="H50" s="21"/>
      <c r="I50" s="21"/>
      <c r="J50" s="21"/>
      <c r="K50" s="22" t="s">
        <v>1</v>
      </c>
      <c r="L50" s="21"/>
      <c r="M50" s="42" t="s">
        <v>36</v>
      </c>
      <c r="N50" s="21"/>
      <c r="O50" s="21"/>
      <c r="P50" s="21"/>
      <c r="Q50" s="55" t="s">
        <v>3</v>
      </c>
      <c r="R50" s="21"/>
      <c r="S50" s="22" t="s">
        <v>45</v>
      </c>
      <c r="T50" s="22"/>
      <c r="U50" s="22"/>
      <c r="V50" s="24" t="s">
        <v>4</v>
      </c>
      <c r="W50" s="10"/>
      <c r="X50" s="10"/>
    </row>
    <row r="51" spans="1:24" s="1" customFormat="1" ht="14.25" customHeight="1">
      <c r="A51" s="25" t="s">
        <v>5</v>
      </c>
      <c r="B51" s="29"/>
      <c r="C51" s="28" t="s">
        <v>41</v>
      </c>
      <c r="D51" s="29"/>
      <c r="E51" s="30" t="s">
        <v>6</v>
      </c>
      <c r="F51" s="43"/>
      <c r="G51" s="28" t="s">
        <v>7</v>
      </c>
      <c r="H51" s="29"/>
      <c r="I51" s="30" t="s">
        <v>8</v>
      </c>
      <c r="J51" s="29"/>
      <c r="K51" s="30" t="s">
        <v>9</v>
      </c>
      <c r="L51" s="29"/>
      <c r="M51" s="28" t="s">
        <v>38</v>
      </c>
      <c r="N51" s="29"/>
      <c r="O51" s="30" t="s">
        <v>35</v>
      </c>
      <c r="P51" s="29"/>
      <c r="Q51" s="30" t="s">
        <v>48</v>
      </c>
      <c r="R51" s="29"/>
      <c r="S51" s="31" t="s">
        <v>61</v>
      </c>
      <c r="T51" s="30"/>
      <c r="U51" s="30"/>
      <c r="V51" s="28" t="s">
        <v>46</v>
      </c>
      <c r="W51" s="29"/>
      <c r="X51" s="10"/>
    </row>
    <row r="52" spans="1:24" s="1" customFormat="1" ht="11.25" customHeight="1">
      <c r="A52" s="33"/>
      <c r="B52" s="10"/>
      <c r="C52" s="62" t="s">
        <v>60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10"/>
    </row>
    <row r="53" spans="1:24" s="1" customFormat="1" ht="11.25" customHeight="1">
      <c r="A53" s="25" t="s">
        <v>11</v>
      </c>
      <c r="B53" s="10"/>
      <c r="C53" s="44">
        <f>C6/0.1431</f>
        <v>1593.2914046121593</v>
      </c>
      <c r="D53" s="45"/>
      <c r="E53" s="44">
        <f>E6/0.1431</f>
        <v>6254.3675751222918</v>
      </c>
      <c r="F53" s="45"/>
      <c r="G53" s="9">
        <v>-3</v>
      </c>
      <c r="H53" s="10"/>
      <c r="I53" s="36" t="s">
        <v>12</v>
      </c>
      <c r="J53" s="10"/>
      <c r="K53" s="37" t="s">
        <v>13</v>
      </c>
      <c r="L53" s="10"/>
      <c r="M53" s="9">
        <v>-3</v>
      </c>
      <c r="N53" s="45"/>
      <c r="O53" s="44">
        <f>O6/0.1431</f>
        <v>419.28721174004193</v>
      </c>
      <c r="P53" s="45"/>
      <c r="Q53" s="44">
        <f>Q6/0.1431</f>
        <v>279.5248078266946</v>
      </c>
      <c r="R53" s="45"/>
      <c r="S53" s="44">
        <f>S6/0.1431</f>
        <v>999.30118798043327</v>
      </c>
      <c r="T53" s="45"/>
      <c r="U53" s="45"/>
      <c r="V53" s="44">
        <f>V6/0.1431</f>
        <v>160.72676450034939</v>
      </c>
      <c r="W53" s="10"/>
      <c r="X53" s="10"/>
    </row>
    <row r="54" spans="1:24" s="1" customFormat="1" ht="11.25" customHeight="1">
      <c r="A54" s="25" t="s">
        <v>14</v>
      </c>
      <c r="B54" s="10"/>
      <c r="C54" s="46">
        <f>C7/0.1615</f>
        <v>1517.0278637770898</v>
      </c>
      <c r="D54" s="27"/>
      <c r="E54" s="46">
        <f>E7/0.1615</f>
        <v>6235.2941176470586</v>
      </c>
      <c r="F54" s="27"/>
      <c r="G54" s="9">
        <v>-3</v>
      </c>
      <c r="H54" s="10"/>
      <c r="I54" s="39" t="s">
        <v>13</v>
      </c>
      <c r="J54" s="10"/>
      <c r="K54" s="39" t="s">
        <v>13</v>
      </c>
      <c r="L54" s="10"/>
      <c r="M54" s="9">
        <v>-3</v>
      </c>
      <c r="N54" s="27"/>
      <c r="O54" s="46">
        <f>O7/0.1615</f>
        <v>396.2848297213622</v>
      </c>
      <c r="P54" s="27"/>
      <c r="Q54" s="46">
        <f>Q7/0.1615</f>
        <v>334.36532507739935</v>
      </c>
      <c r="R54" s="27"/>
      <c r="S54" s="46">
        <f>S7/0.1615</f>
        <v>1430.3405572755416</v>
      </c>
      <c r="T54" s="27"/>
      <c r="U54" s="27"/>
      <c r="V54" s="46">
        <f>V7/0.1615</f>
        <v>130.03095975232199</v>
      </c>
      <c r="W54" s="10"/>
      <c r="X54" s="10"/>
    </row>
    <row r="55" spans="1:24" s="1" customFormat="1" ht="11.25" customHeight="1">
      <c r="A55" s="25" t="s">
        <v>15</v>
      </c>
      <c r="B55" s="10"/>
      <c r="C55" s="46">
        <f>C8/0.1753</f>
        <v>1540.2167712492869</v>
      </c>
      <c r="D55" s="27"/>
      <c r="E55" s="46">
        <f>E8/0.1753</f>
        <v>6434.6833998859092</v>
      </c>
      <c r="F55" s="27"/>
      <c r="G55" s="9">
        <v>-3</v>
      </c>
      <c r="H55" s="10"/>
      <c r="I55" s="39" t="s">
        <v>13</v>
      </c>
      <c r="J55" s="10"/>
      <c r="K55" s="39" t="s">
        <v>13</v>
      </c>
      <c r="L55" s="10"/>
      <c r="M55" s="9">
        <v>-3</v>
      </c>
      <c r="N55" s="27"/>
      <c r="O55" s="46">
        <f>O8/0.1753</f>
        <v>376.49743297204787</v>
      </c>
      <c r="P55" s="27"/>
      <c r="Q55" s="46">
        <f>Q8/0.1753</f>
        <v>490.58756417569879</v>
      </c>
      <c r="R55" s="27"/>
      <c r="S55" s="46">
        <f>S8/0.1753</f>
        <v>1602.9663434112949</v>
      </c>
      <c r="T55" s="27"/>
      <c r="U55" s="27"/>
      <c r="V55" s="46">
        <f>V8/0.1753</f>
        <v>119.79463776383342</v>
      </c>
      <c r="W55" s="10"/>
      <c r="X55" s="10"/>
    </row>
    <row r="56" spans="1:24" s="1" customFormat="1" ht="11.25" customHeight="1">
      <c r="A56" s="25" t="s">
        <v>16</v>
      </c>
      <c r="B56" s="10"/>
      <c r="C56" s="46">
        <f>C9/0.1894</f>
        <v>1546.9904963041181</v>
      </c>
      <c r="D56" s="27"/>
      <c r="E56" s="46">
        <f>E9/0.1894</f>
        <v>6504.7518479408654</v>
      </c>
      <c r="F56" s="27"/>
      <c r="G56" s="9">
        <v>-3</v>
      </c>
      <c r="H56" s="10"/>
      <c r="I56" s="39" t="s">
        <v>13</v>
      </c>
      <c r="J56" s="10"/>
      <c r="K56" s="39" t="s">
        <v>13</v>
      </c>
      <c r="L56" s="10"/>
      <c r="M56" s="9">
        <v>-3</v>
      </c>
      <c r="N56" s="27"/>
      <c r="O56" s="46">
        <f>O9/0.1894</f>
        <v>369.58817317845825</v>
      </c>
      <c r="P56" s="46"/>
      <c r="Q56" s="46">
        <f>Q9/0.1894</f>
        <v>438.22597676874335</v>
      </c>
      <c r="R56" s="27"/>
      <c r="S56" s="46">
        <f>S9/0.1894</f>
        <v>887.01161562829986</v>
      </c>
      <c r="T56" s="27"/>
      <c r="U56" s="27"/>
      <c r="V56" s="46">
        <f>V9/0.1894</f>
        <v>116.15628299894402</v>
      </c>
      <c r="W56" s="10"/>
      <c r="X56" s="10"/>
    </row>
    <row r="57" spans="1:24" s="1" customFormat="1" ht="11.25" customHeight="1">
      <c r="A57" s="25" t="s">
        <v>17</v>
      </c>
      <c r="B57" s="10"/>
      <c r="C57" s="46">
        <f>C10/0.2077</f>
        <v>1526.2397688974484</v>
      </c>
      <c r="D57" s="27"/>
      <c r="E57" s="46">
        <f>E10/0.2077</f>
        <v>6803.0813673567645</v>
      </c>
      <c r="F57" s="27"/>
      <c r="G57" s="9">
        <v>-3</v>
      </c>
      <c r="H57" s="10"/>
      <c r="I57" s="39" t="s">
        <v>13</v>
      </c>
      <c r="J57" s="10"/>
      <c r="K57" s="39" t="s">
        <v>13</v>
      </c>
      <c r="L57" s="10"/>
      <c r="M57" s="9">
        <v>-3</v>
      </c>
      <c r="N57" s="27"/>
      <c r="O57" s="46">
        <f>O10/0.2077</f>
        <v>351.46846413095813</v>
      </c>
      <c r="P57" s="27"/>
      <c r="Q57" s="46">
        <f>Q10/0.2077</f>
        <v>423.68801155512762</v>
      </c>
      <c r="R57" s="27"/>
      <c r="S57" s="46">
        <f>S10/0.2077</f>
        <v>866.63456909003366</v>
      </c>
      <c r="T57" s="27"/>
      <c r="U57" s="27"/>
      <c r="V57" s="46">
        <f>V10/0.2077</f>
        <v>120.3659123736158</v>
      </c>
      <c r="W57" s="10"/>
      <c r="X57" s="10"/>
    </row>
    <row r="58" spans="1:24" s="1" customFormat="1" ht="11.25" customHeight="1">
      <c r="A58" s="25" t="s">
        <v>18</v>
      </c>
      <c r="B58" s="10"/>
      <c r="C58" s="46">
        <f>C11/0.2312</f>
        <v>1448.961937716263</v>
      </c>
      <c r="D58" s="27"/>
      <c r="E58" s="46">
        <f>E11/0.2312</f>
        <v>6526.8166089965398</v>
      </c>
      <c r="F58" s="27"/>
      <c r="G58" s="9">
        <v>-3</v>
      </c>
      <c r="H58" s="10"/>
      <c r="I58" s="39" t="s">
        <v>13</v>
      </c>
      <c r="J58" s="10"/>
      <c r="K58" s="39" t="s">
        <v>13</v>
      </c>
      <c r="L58" s="10"/>
      <c r="M58" s="9">
        <v>-3</v>
      </c>
      <c r="N58" s="27"/>
      <c r="O58" s="46">
        <f>O11/0.2312</f>
        <v>376.29757785467132</v>
      </c>
      <c r="P58" s="27"/>
      <c r="Q58" s="46">
        <f>Q11/0.2312</f>
        <v>389.27335640138409</v>
      </c>
      <c r="R58" s="27"/>
      <c r="S58" s="46">
        <f>S11/0.2312</f>
        <v>454.15224913494814</v>
      </c>
      <c r="T58" s="27"/>
      <c r="U58" s="27"/>
      <c r="V58" s="46">
        <f>V11/0.2312</f>
        <v>121.10726643598616</v>
      </c>
      <c r="W58" s="10"/>
      <c r="X58" s="10"/>
    </row>
    <row r="59" spans="1:24" s="1" customFormat="1" ht="11.25" customHeight="1">
      <c r="A59" s="25" t="s">
        <v>19</v>
      </c>
      <c r="B59" s="10"/>
      <c r="C59" s="46">
        <f>C12/0.2598</f>
        <v>1408.7759815242496</v>
      </c>
      <c r="D59" s="27"/>
      <c r="E59" s="46">
        <f>E12/0.2598</f>
        <v>6431.8706697459593</v>
      </c>
      <c r="F59" s="27"/>
      <c r="G59" s="9">
        <v>-3</v>
      </c>
      <c r="H59" s="10"/>
      <c r="I59" s="39" t="s">
        <v>13</v>
      </c>
      <c r="J59" s="10"/>
      <c r="K59" s="39" t="s">
        <v>13</v>
      </c>
      <c r="L59" s="10"/>
      <c r="M59" s="9">
        <v>-3</v>
      </c>
      <c r="N59" s="27"/>
      <c r="O59" s="46">
        <f>O12/0.2598</f>
        <v>346.42032332563514</v>
      </c>
      <c r="P59" s="27"/>
      <c r="Q59" s="46">
        <f>Q12/0.2598</f>
        <v>442.64819091608933</v>
      </c>
      <c r="R59" s="27"/>
      <c r="S59" s="46">
        <f>S12/0.2598</f>
        <v>361.81678214010782</v>
      </c>
      <c r="T59" s="27"/>
      <c r="U59" s="27"/>
      <c r="V59" s="46">
        <f>V12/0.2598</f>
        <v>111.62432640492688</v>
      </c>
      <c r="W59" s="10"/>
      <c r="X59" s="10"/>
    </row>
    <row r="60" spans="1:24" s="1" customFormat="1" ht="11.25" customHeight="1">
      <c r="A60" s="25" t="s">
        <v>20</v>
      </c>
      <c r="B60" s="10"/>
      <c r="C60" s="46">
        <f>C13/0.2906</f>
        <v>1249.1397109428767</v>
      </c>
      <c r="D60" s="27"/>
      <c r="E60" s="46">
        <f>E13/0.2906</f>
        <v>6324.8451479697169</v>
      </c>
      <c r="F60" s="27"/>
      <c r="G60" s="9">
        <v>-3</v>
      </c>
      <c r="H60" s="10"/>
      <c r="I60" s="39" t="s">
        <v>13</v>
      </c>
      <c r="J60" s="10"/>
      <c r="K60" s="39" t="s">
        <v>13</v>
      </c>
      <c r="L60" s="10"/>
      <c r="M60" s="9">
        <v>-3</v>
      </c>
      <c r="N60" s="27"/>
      <c r="O60" s="46">
        <f>O13/0.2906</f>
        <v>320.02752924982792</v>
      </c>
      <c r="P60" s="27"/>
      <c r="Q60" s="46">
        <f>Q13/0.2906</f>
        <v>399.17412250516168</v>
      </c>
      <c r="R60" s="27"/>
      <c r="S60" s="46">
        <f>S13/0.2906</f>
        <v>450.79146593255331</v>
      </c>
      <c r="T60" s="27"/>
      <c r="U60" s="27"/>
      <c r="V60" s="46">
        <f>V13/0.2906</f>
        <v>106.67584308327598</v>
      </c>
      <c r="W60" s="10"/>
      <c r="X60" s="10"/>
    </row>
    <row r="61" spans="1:24" s="1" customFormat="1" ht="11.25" customHeight="1">
      <c r="A61" s="25" t="s">
        <v>21</v>
      </c>
      <c r="B61" s="10"/>
      <c r="C61" s="46">
        <f>C14/0.3182</f>
        <v>1263.3563796354495</v>
      </c>
      <c r="D61" s="27"/>
      <c r="E61" s="46">
        <f>E14/0.3182</f>
        <v>6313.6392206159653</v>
      </c>
      <c r="F61" s="27"/>
      <c r="G61" s="9">
        <v>-3</v>
      </c>
      <c r="H61" s="10"/>
      <c r="I61" s="39" t="s">
        <v>13</v>
      </c>
      <c r="J61" s="10"/>
      <c r="K61" s="39" t="s">
        <v>13</v>
      </c>
      <c r="L61" s="10"/>
      <c r="M61" s="9">
        <v>-3</v>
      </c>
      <c r="N61" s="27"/>
      <c r="O61" s="46">
        <f>O14/0.3182</f>
        <v>304.83972344437461</v>
      </c>
      <c r="P61" s="27"/>
      <c r="Q61" s="46">
        <f>Q14/0.3182</f>
        <v>395.97737272155877</v>
      </c>
      <c r="R61" s="27"/>
      <c r="S61" s="46">
        <f>S14/0.3182</f>
        <v>788.81206788183533</v>
      </c>
      <c r="T61" s="27"/>
      <c r="U61" s="27"/>
      <c r="V61" s="46">
        <f>V14/0.3182</f>
        <v>103.70835952231302</v>
      </c>
      <c r="W61" s="10"/>
      <c r="X61" s="10"/>
    </row>
    <row r="62" spans="1:24" s="1" customFormat="1" ht="11.25" customHeight="1">
      <c r="A62" s="25" t="s">
        <v>22</v>
      </c>
      <c r="B62" s="10"/>
      <c r="C62" s="46">
        <f>C15/0.3435</f>
        <v>1196.5065502183404</v>
      </c>
      <c r="D62" s="27"/>
      <c r="E62" s="46">
        <f>E15/0.3435</f>
        <v>6363.9010189228529</v>
      </c>
      <c r="F62" s="27"/>
      <c r="G62" s="9">
        <v>-3</v>
      </c>
      <c r="H62" s="10"/>
      <c r="I62" s="39" t="s">
        <v>13</v>
      </c>
      <c r="J62" s="10"/>
      <c r="K62" s="39" t="s">
        <v>13</v>
      </c>
      <c r="L62" s="10"/>
      <c r="M62" s="9">
        <v>-3</v>
      </c>
      <c r="N62" s="27"/>
      <c r="O62" s="46">
        <f>O15/0.3435</f>
        <v>294.03202328966518</v>
      </c>
      <c r="P62" s="27"/>
      <c r="Q62" s="46">
        <f>Q15/0.3435</f>
        <v>372.63464337700145</v>
      </c>
      <c r="R62" s="27"/>
      <c r="S62" s="46">
        <f>S15/0.3435</f>
        <v>826.78311499272195</v>
      </c>
      <c r="T62" s="27"/>
      <c r="U62" s="27"/>
      <c r="V62" s="46">
        <f>V15/0.3435</f>
        <v>104.80349344978166</v>
      </c>
      <c r="W62" s="10"/>
      <c r="X62" s="10"/>
    </row>
    <row r="63" spans="1:24" s="1" customFormat="1" ht="11.25" customHeight="1">
      <c r="A63" s="25" t="s">
        <v>23</v>
      </c>
      <c r="B63" s="10"/>
      <c r="C63" s="46">
        <f>C16/0.3652</f>
        <v>1237.6779846659365</v>
      </c>
      <c r="D63" s="27"/>
      <c r="E63" s="46">
        <f>E16/0.3652</f>
        <v>6426.6155531215763</v>
      </c>
      <c r="F63" s="27"/>
      <c r="G63" s="9">
        <v>-3</v>
      </c>
      <c r="H63" s="10"/>
      <c r="I63" s="39" t="s">
        <v>13</v>
      </c>
      <c r="J63" s="10"/>
      <c r="K63" s="39" t="s">
        <v>13</v>
      </c>
      <c r="L63" s="10"/>
      <c r="M63" s="9">
        <v>-3</v>
      </c>
      <c r="N63" s="27"/>
      <c r="O63" s="46">
        <f>O16/0.3652</f>
        <v>284.77546549835705</v>
      </c>
      <c r="P63" s="27"/>
      <c r="Q63" s="46">
        <f>Q16/0.3652</f>
        <v>369.66046002190581</v>
      </c>
      <c r="R63" s="27"/>
      <c r="S63" s="46">
        <f>S16/0.3652</f>
        <v>928.25848849945226</v>
      </c>
      <c r="T63" s="27"/>
      <c r="U63" s="27"/>
      <c r="V63" s="46">
        <f>V16/0.3652</f>
        <v>106.79079956188389</v>
      </c>
      <c r="W63" s="10"/>
      <c r="X63" s="10"/>
    </row>
    <row r="64" spans="1:24" s="1" customFormat="1" ht="11.25" customHeight="1">
      <c r="A64" s="25" t="s">
        <v>24</v>
      </c>
      <c r="B64" s="10"/>
      <c r="C64" s="46">
        <f>C17/0.3864</f>
        <v>1325.0517598343686</v>
      </c>
      <c r="D64" s="27"/>
      <c r="E64" s="46">
        <f>E17/0.3864</f>
        <v>6757.246376811594</v>
      </c>
      <c r="F64" s="27"/>
      <c r="G64" s="9">
        <v>-3</v>
      </c>
      <c r="H64" s="10"/>
      <c r="I64" s="39" t="s">
        <v>13</v>
      </c>
      <c r="J64" s="10"/>
      <c r="K64" s="39" t="s">
        <v>13</v>
      </c>
      <c r="L64" s="10"/>
      <c r="M64" s="9">
        <v>-3</v>
      </c>
      <c r="N64" s="27"/>
      <c r="O64" s="46">
        <f>O17/0.3864</f>
        <v>271.73913043478257</v>
      </c>
      <c r="P64" s="27"/>
      <c r="Q64" s="46">
        <f>Q17/0.3864</f>
        <v>383.02277432712214</v>
      </c>
      <c r="R64" s="27"/>
      <c r="S64" s="46">
        <f>S17/0.3864</f>
        <v>892.85714285714278</v>
      </c>
      <c r="T64" s="27"/>
      <c r="U64" s="27"/>
      <c r="V64" s="46">
        <f>V17/0.3864</f>
        <v>129.39958592132504</v>
      </c>
      <c r="W64" s="10"/>
      <c r="X64" s="10"/>
    </row>
    <row r="65" spans="1:24" s="1" customFormat="1" ht="11.25" customHeight="1">
      <c r="A65" s="25" t="s">
        <v>25</v>
      </c>
      <c r="B65" s="10"/>
      <c r="C65" s="46">
        <f>C18/0.4111</f>
        <v>1318.4140111894915</v>
      </c>
      <c r="D65" s="27"/>
      <c r="E65" s="46">
        <f>E18/0.4111</f>
        <v>6154.2203843347115</v>
      </c>
      <c r="F65" s="27"/>
      <c r="G65" s="9">
        <v>-3</v>
      </c>
      <c r="H65" s="10"/>
      <c r="I65" s="10"/>
      <c r="J65" s="10"/>
      <c r="K65" s="10"/>
      <c r="L65" s="10"/>
      <c r="M65" s="9">
        <v>-3</v>
      </c>
      <c r="N65" s="27"/>
      <c r="O65" s="46">
        <f>O18/0.4111</f>
        <v>287.03478472391146</v>
      </c>
      <c r="P65" s="27"/>
      <c r="Q65" s="46">
        <f>Q18/0.4111</f>
        <v>352.71223546582337</v>
      </c>
      <c r="R65" s="27"/>
      <c r="S65" s="46">
        <f>S18/0.4111</f>
        <v>907.32181950863537</v>
      </c>
      <c r="T65" s="27"/>
      <c r="U65" s="27"/>
      <c r="V65" s="46">
        <f>V18/0.4111</f>
        <v>114.3274142544393</v>
      </c>
      <c r="W65" s="10"/>
      <c r="X65" s="10"/>
    </row>
    <row r="66" spans="1:24" s="1" customFormat="1" ht="11.25" customHeight="1">
      <c r="A66" s="25" t="s">
        <v>26</v>
      </c>
      <c r="B66" s="10"/>
      <c r="C66" s="46">
        <f>C19/0.4411</f>
        <v>1321.6957605985037</v>
      </c>
      <c r="D66" s="27"/>
      <c r="E66" s="46">
        <f>E19/0.4411</f>
        <v>6145.998639764226</v>
      </c>
      <c r="F66" s="27"/>
      <c r="G66" s="9">
        <v>-3</v>
      </c>
      <c r="H66" s="10"/>
      <c r="I66" s="39" t="s">
        <v>13</v>
      </c>
      <c r="J66" s="10"/>
      <c r="K66" s="39" t="s">
        <v>13</v>
      </c>
      <c r="L66" s="10"/>
      <c r="M66" s="9">
        <v>-3</v>
      </c>
      <c r="N66" s="27"/>
      <c r="O66" s="46">
        <f>O19/0.4411</f>
        <v>285.64951258218093</v>
      </c>
      <c r="P66" s="27"/>
      <c r="Q66" s="46">
        <f>Q19/0.4411</f>
        <v>353.66130129222398</v>
      </c>
      <c r="R66" s="27"/>
      <c r="S66" s="46">
        <f>S19/0.4411</f>
        <v>1135.7968714577194</v>
      </c>
      <c r="T66" s="27"/>
      <c r="U66" s="27"/>
      <c r="V66" s="46">
        <f>V19/0.4411</f>
        <v>111.08592155973702</v>
      </c>
      <c r="W66" s="10"/>
      <c r="X66" s="10"/>
    </row>
    <row r="67" spans="1:24" s="1" customFormat="1" ht="11.25" customHeight="1">
      <c r="A67" s="25" t="s">
        <v>27</v>
      </c>
      <c r="B67" s="10"/>
      <c r="C67" s="46">
        <f>C20/0.4794</f>
        <v>1393.4084272006676</v>
      </c>
      <c r="D67" s="27"/>
      <c r="E67" s="46">
        <f>E20/0.4794</f>
        <v>5994.9937421777222</v>
      </c>
      <c r="F67" s="27"/>
      <c r="G67" s="9">
        <v>-3</v>
      </c>
      <c r="H67" s="10"/>
      <c r="I67" s="39" t="s">
        <v>13</v>
      </c>
      <c r="J67" s="10"/>
      <c r="K67" s="39" t="s">
        <v>13</v>
      </c>
      <c r="L67" s="10"/>
      <c r="M67" s="9">
        <v>-3</v>
      </c>
      <c r="N67" s="27"/>
      <c r="O67" s="46">
        <f>O20/0.4794</f>
        <v>287.85982478097623</v>
      </c>
      <c r="P67" s="27"/>
      <c r="Q67" s="46">
        <f>Q20/0.4794</f>
        <v>354.6099290780142</v>
      </c>
      <c r="R67" s="27"/>
      <c r="S67" s="46">
        <f>S20/0.4794</f>
        <v>1332.9161451814768</v>
      </c>
      <c r="T67" s="27"/>
      <c r="U67" s="27"/>
      <c r="V67" s="46">
        <f>V20/0.4794</f>
        <v>110.55486024196912</v>
      </c>
      <c r="W67" s="10"/>
      <c r="X67" s="10"/>
    </row>
    <row r="68" spans="1:24" s="1" customFormat="1" ht="11.25" customHeight="1">
      <c r="A68" s="25" t="s">
        <v>28</v>
      </c>
      <c r="B68" s="10"/>
      <c r="C68" s="46">
        <f>C21/0.5207</f>
        <v>1557.6339542922985</v>
      </c>
      <c r="D68" s="27"/>
      <c r="E68" s="46">
        <f>E21/0.5207</f>
        <v>6313.1745726906083</v>
      </c>
      <c r="F68" s="27"/>
      <c r="G68" s="9">
        <v>-3</v>
      </c>
      <c r="H68" s="27"/>
      <c r="I68" s="27">
        <f>I21/0.792817</f>
        <v>0</v>
      </c>
      <c r="J68" s="27">
        <f>J21/0.792817</f>
        <v>0</v>
      </c>
      <c r="K68" s="27">
        <f>K21/0.792817</f>
        <v>0</v>
      </c>
      <c r="L68" s="27">
        <f>L21/0.792817</f>
        <v>0</v>
      </c>
      <c r="M68" s="9">
        <v>-3</v>
      </c>
      <c r="N68" s="27"/>
      <c r="O68" s="46">
        <f>O21/0.5207</f>
        <v>296.52391012099093</v>
      </c>
      <c r="P68" s="27"/>
      <c r="Q68" s="46">
        <f>Q21/0.5207</f>
        <v>367.71653543307082</v>
      </c>
      <c r="R68" s="27"/>
      <c r="S68" s="46">
        <f>S21/0.5207</f>
        <v>1413.7507201843671</v>
      </c>
      <c r="T68" s="27"/>
      <c r="U68" s="27"/>
      <c r="V68" s="46">
        <f>V21/0.5207</f>
        <v>117.72613789130016</v>
      </c>
      <c r="W68" s="10"/>
      <c r="X68" s="10"/>
    </row>
    <row r="69" spans="1:24" s="1" customFormat="1" ht="11.25" customHeight="1">
      <c r="A69" s="25" t="s">
        <v>29</v>
      </c>
      <c r="B69" s="10"/>
      <c r="C69" s="46">
        <f>C22/0.5629</f>
        <v>1603.0911351927518</v>
      </c>
      <c r="D69" s="27"/>
      <c r="E69" s="46">
        <f>E22/0.5629</f>
        <v>6489.1632616805828</v>
      </c>
      <c r="F69" s="27"/>
      <c r="G69" s="9">
        <v>-3</v>
      </c>
      <c r="H69" s="27"/>
      <c r="I69" s="27">
        <f>I22/0.842134</f>
        <v>0</v>
      </c>
      <c r="J69" s="27">
        <f>J22/0.842134</f>
        <v>0</v>
      </c>
      <c r="K69" s="27">
        <f>K22/0.842134</f>
        <v>0</v>
      </c>
      <c r="L69" s="27">
        <f>L22/0.842134</f>
        <v>0</v>
      </c>
      <c r="M69" s="9">
        <v>-3</v>
      </c>
      <c r="N69" s="27"/>
      <c r="O69" s="46">
        <f>O22/0.5629</f>
        <v>302.71806715224733</v>
      </c>
      <c r="P69" s="27"/>
      <c r="Q69" s="46">
        <f>Q22/0.5629</f>
        <v>384.61538461538464</v>
      </c>
      <c r="R69" s="27"/>
      <c r="S69" s="46">
        <f>S22/0.5629</f>
        <v>1612.7020785219399</v>
      </c>
      <c r="T69" s="27"/>
      <c r="U69" s="27"/>
      <c r="V69" s="46">
        <f>V22/0.5629</f>
        <v>121.72677207319239</v>
      </c>
      <c r="W69" s="10"/>
      <c r="X69" s="10"/>
    </row>
    <row r="70" spans="1:24" s="1" customFormat="1" ht="11.25" customHeight="1">
      <c r="A70" s="25" t="s">
        <v>30</v>
      </c>
      <c r="B70" s="10"/>
      <c r="C70" s="46">
        <f>C23/0.6028</f>
        <v>1610.816191108162</v>
      </c>
      <c r="D70" s="27"/>
      <c r="E70" s="46">
        <f>E23/0.6028</f>
        <v>5491.0418049104183</v>
      </c>
      <c r="F70" s="27"/>
      <c r="G70" s="9">
        <v>-3</v>
      </c>
      <c r="H70" s="27"/>
      <c r="I70" s="27">
        <f>I23/0.892113</f>
        <v>0</v>
      </c>
      <c r="J70" s="27">
        <f>J23/0.892113</f>
        <v>0</v>
      </c>
      <c r="K70" s="27">
        <f>K23/0.892113</f>
        <v>0</v>
      </c>
      <c r="L70" s="27">
        <f>L23/0.892113</f>
        <v>0</v>
      </c>
      <c r="M70" s="9">
        <v>-3</v>
      </c>
      <c r="N70" s="27"/>
      <c r="O70" s="46">
        <f>O23/0.6028</f>
        <v>310.21897810218979</v>
      </c>
      <c r="P70" s="27"/>
      <c r="Q70" s="46">
        <f>Q23/0.6028</f>
        <v>403.11877903118778</v>
      </c>
      <c r="R70" s="27"/>
      <c r="S70" s="46">
        <f>S23/0.6028</f>
        <v>1605.8394160583941</v>
      </c>
      <c r="T70" s="27"/>
      <c r="U70" s="27"/>
      <c r="V70" s="46">
        <f>V23/0.6028</f>
        <v>132.71400132714001</v>
      </c>
      <c r="W70" s="10"/>
      <c r="X70" s="10"/>
    </row>
    <row r="71" spans="1:24" s="1" customFormat="1" ht="11.25" customHeight="1">
      <c r="A71" s="25" t="s">
        <v>31</v>
      </c>
      <c r="B71" s="10"/>
      <c r="C71" s="46">
        <f>C24/0.6387</f>
        <v>1586.0341318302801</v>
      </c>
      <c r="D71" s="27"/>
      <c r="E71" s="46">
        <f>E24/0.6387</f>
        <v>5710.036010646626</v>
      </c>
      <c r="F71" s="27"/>
      <c r="G71" s="9">
        <v>-3</v>
      </c>
      <c r="H71" s="27"/>
      <c r="I71" s="27">
        <f>I24/0.944651</f>
        <v>0</v>
      </c>
      <c r="J71" s="27">
        <f>J24/0.944651</f>
        <v>0</v>
      </c>
      <c r="K71" s="27">
        <f>K24/0.944651</f>
        <v>0</v>
      </c>
      <c r="L71" s="27">
        <f>L24/0.944651</f>
        <v>0</v>
      </c>
      <c r="M71" s="9">
        <v>-3</v>
      </c>
      <c r="N71" s="27"/>
      <c r="O71" s="46">
        <f>O24/0.6387</f>
        <v>305.3076561766087</v>
      </c>
      <c r="P71" s="27"/>
      <c r="Q71" s="46">
        <f>Q24/0.6387</f>
        <v>394.55143259746359</v>
      </c>
      <c r="R71" s="27"/>
      <c r="S71" s="46">
        <f>S24/0.6387</f>
        <v>1615.7820573038985</v>
      </c>
      <c r="T71" s="27"/>
      <c r="U71" s="27"/>
      <c r="V71" s="46">
        <f>V24/0.6387</f>
        <v>137.7798653514952</v>
      </c>
      <c r="W71" s="10"/>
      <c r="X71" s="10"/>
    </row>
    <row r="72" spans="1:24" s="1" customFormat="1" ht="11.25" customHeight="1">
      <c r="A72" s="25" t="s">
        <v>32</v>
      </c>
      <c r="B72" s="10"/>
      <c r="C72" s="46">
        <f>C25/0.6652</f>
        <v>1512.3271196632591</v>
      </c>
      <c r="D72" s="27"/>
      <c r="E72" s="46">
        <f>E25/0.6652</f>
        <v>5393.8665063138906</v>
      </c>
      <c r="F72" s="27"/>
      <c r="G72" s="9">
        <v>-3</v>
      </c>
      <c r="H72" s="27"/>
      <c r="I72" s="27">
        <f>I25/0.989479</f>
        <v>0</v>
      </c>
      <c r="J72" s="27">
        <f>J25/0.989479</f>
        <v>0</v>
      </c>
      <c r="K72" s="27">
        <f>K25/0.989479</f>
        <v>0</v>
      </c>
      <c r="L72" s="27">
        <f>L25/0.989479</f>
        <v>0</v>
      </c>
      <c r="M72" s="9">
        <v>-3</v>
      </c>
      <c r="N72" s="27"/>
      <c r="O72" s="46">
        <f>O25/0.6652</f>
        <v>296.1515333734215</v>
      </c>
      <c r="P72" s="27"/>
      <c r="Q72" s="46">
        <f>Q25/0.6652</f>
        <v>378.8334335538184</v>
      </c>
      <c r="R72" s="27"/>
      <c r="S72" s="46">
        <f>S25/0.6652</f>
        <v>1518.3403487672881</v>
      </c>
      <c r="T72" s="27"/>
      <c r="U72" s="27"/>
      <c r="V72" s="46">
        <f>V25/0.6652</f>
        <v>142.8141912206855</v>
      </c>
      <c r="W72" s="10"/>
      <c r="X72" s="10"/>
    </row>
    <row r="73" spans="1:24" s="1" customFormat="1" ht="11.25" customHeight="1">
      <c r="A73" s="25">
        <v>1995</v>
      </c>
      <c r="B73" s="21"/>
      <c r="C73" s="47">
        <f>C26/0.6909</f>
        <v>1515.4146765089015</v>
      </c>
      <c r="D73" s="23"/>
      <c r="E73" s="47">
        <f>E26/0.6909</f>
        <v>5527.5727312201479</v>
      </c>
      <c r="F73" s="27"/>
      <c r="G73" s="9">
        <v>-3</v>
      </c>
      <c r="H73" s="27"/>
      <c r="I73" s="27"/>
      <c r="J73" s="27"/>
      <c r="K73" s="27"/>
      <c r="L73" s="27"/>
      <c r="M73" s="9">
        <v>-3</v>
      </c>
      <c r="N73" s="27"/>
      <c r="O73" s="47">
        <f>O26/0.6909</f>
        <v>289.47749312490953</v>
      </c>
      <c r="P73" s="27"/>
      <c r="Q73" s="47">
        <f>Q26/0.6909</f>
        <v>364.74164133738606</v>
      </c>
      <c r="R73" s="27"/>
      <c r="S73" s="47">
        <f>S26/0.6909</f>
        <v>2299.8986828774064</v>
      </c>
      <c r="T73" s="27"/>
      <c r="U73" s="27"/>
      <c r="V73" s="47">
        <f>V26/0.6909</f>
        <v>150.52829642495297</v>
      </c>
      <c r="W73" s="10"/>
      <c r="X73" s="10"/>
    </row>
    <row r="74" spans="1:24" s="1" customFormat="1" ht="11.25" customHeight="1">
      <c r="A74" s="25">
        <v>1996</v>
      </c>
      <c r="B74" s="21"/>
      <c r="C74" s="47">
        <f>C27/0.7088</f>
        <v>1478.5553047404064</v>
      </c>
      <c r="D74" s="23"/>
      <c r="E74" s="47">
        <f>E27/0.7088</f>
        <v>5117.0993227990975</v>
      </c>
      <c r="F74" s="27"/>
      <c r="G74" s="9">
        <v>-3</v>
      </c>
      <c r="H74" s="27"/>
      <c r="I74" s="27"/>
      <c r="J74" s="27"/>
      <c r="K74" s="27"/>
      <c r="L74" s="27"/>
      <c r="M74" s="9">
        <v>-3</v>
      </c>
      <c r="N74" s="27"/>
      <c r="O74" s="47">
        <f>O27/0.7088</f>
        <v>289.22121896162531</v>
      </c>
      <c r="P74" s="27"/>
      <c r="Q74" s="47">
        <f>Q27/0.7088</f>
        <v>347.06546275395033</v>
      </c>
      <c r="R74" s="27"/>
      <c r="S74" s="47">
        <f>S27/0.7088</f>
        <v>2617.0993227990971</v>
      </c>
      <c r="T74" s="27"/>
      <c r="U74" s="27"/>
      <c r="V74" s="47">
        <f>V27/0.7088</f>
        <v>158.0135440180587</v>
      </c>
      <c r="W74" s="10"/>
      <c r="X74" s="10"/>
    </row>
    <row r="75" spans="1:24" s="1" customFormat="1" ht="11.25" customHeight="1">
      <c r="A75" s="24">
        <v>1997</v>
      </c>
      <c r="B75" s="21"/>
      <c r="C75" s="47">
        <f>C28/0.7241</f>
        <v>1534.3594112116186</v>
      </c>
      <c r="D75" s="23"/>
      <c r="E75" s="47">
        <f>E28/0.7241</f>
        <v>5643.9788491179224</v>
      </c>
      <c r="F75" s="27"/>
      <c r="G75" s="9">
        <v>-3</v>
      </c>
      <c r="H75" s="27"/>
      <c r="I75" s="27"/>
      <c r="J75" s="27"/>
      <c r="K75" s="27"/>
      <c r="L75" s="27"/>
      <c r="M75" s="9">
        <v>-3</v>
      </c>
      <c r="N75" s="27"/>
      <c r="O75" s="47">
        <f>O28/0.7241</f>
        <v>283.82868794290346</v>
      </c>
      <c r="P75" s="23"/>
      <c r="Q75" s="47">
        <f>Q28/0.7241</f>
        <v>356.92129431743854</v>
      </c>
      <c r="R75" s="23"/>
      <c r="S75" s="47">
        <f>S28/0.7241</f>
        <v>2388.489103430149</v>
      </c>
      <c r="T75" s="23"/>
      <c r="U75" s="23"/>
      <c r="V75" s="47">
        <f>V28/0.7241</f>
        <v>166.27016227205814</v>
      </c>
      <c r="W75" s="10"/>
      <c r="X75" s="10"/>
    </row>
    <row r="76" spans="1:24" s="1" customFormat="1" ht="11.25" customHeight="1">
      <c r="A76" s="24">
        <v>1998</v>
      </c>
      <c r="B76" s="21"/>
      <c r="C76" s="47">
        <f>C29/0.7367</f>
        <v>1638.4130550509835</v>
      </c>
      <c r="D76" s="23"/>
      <c r="E76" s="47">
        <f>E29/0.7367</f>
        <v>5814.9035334400814</v>
      </c>
      <c r="F76" s="27"/>
      <c r="G76" s="9">
        <v>-3</v>
      </c>
      <c r="H76" s="27"/>
      <c r="I76" s="27"/>
      <c r="J76" s="27"/>
      <c r="K76" s="27"/>
      <c r="L76" s="27"/>
      <c r="M76" s="9">
        <v>-3</v>
      </c>
      <c r="N76" s="27"/>
      <c r="O76" s="47">
        <f>O29/0.7367</f>
        <v>284.36968139661872</v>
      </c>
      <c r="P76" s="23"/>
      <c r="Q76" s="47">
        <f>Q29/0.7367</f>
        <v>352.28331737599405</v>
      </c>
      <c r="R76" s="23"/>
      <c r="S76" s="47">
        <f>S29/0.7367</f>
        <v>955.92443648037749</v>
      </c>
      <c r="T76" s="23"/>
      <c r="U76" s="23"/>
      <c r="V76" s="47">
        <f>V29/0.7367</f>
        <v>187.9084899728017</v>
      </c>
      <c r="W76" s="10"/>
      <c r="X76" s="10"/>
    </row>
    <row r="77" spans="1:24" s="1" customFormat="1" ht="11.25" customHeight="1">
      <c r="A77" s="24">
        <v>1999</v>
      </c>
      <c r="B77" s="21"/>
      <c r="C77" s="47">
        <f>C30/0.7527</f>
        <v>1703.3598554375133</v>
      </c>
      <c r="D77" s="23"/>
      <c r="E77" s="47">
        <f>E30/0.7527</f>
        <v>5185.2854364866898</v>
      </c>
      <c r="F77" s="27"/>
      <c r="G77" s="9">
        <v>-3</v>
      </c>
      <c r="H77" s="27"/>
      <c r="I77" s="27"/>
      <c r="J77" s="27"/>
      <c r="K77" s="27"/>
      <c r="L77" s="27"/>
      <c r="M77" s="9">
        <v>-3</v>
      </c>
      <c r="N77" s="27"/>
      <c r="O77" s="47">
        <f>O30/0.7527</f>
        <v>324.78124197710446</v>
      </c>
      <c r="P77" s="23"/>
      <c r="Q77" s="47">
        <f>Q30/0.7527</f>
        <v>365.55691954907616</v>
      </c>
      <c r="R77" s="23"/>
      <c r="S77" s="47">
        <f>S30/0.7527</f>
        <v>1414.1729128516522</v>
      </c>
      <c r="T77" s="23"/>
      <c r="U77" s="23"/>
      <c r="V77" s="47">
        <f>V30/0.7527</f>
        <v>214.09758191914304</v>
      </c>
      <c r="W77" s="10"/>
      <c r="X77" s="10"/>
    </row>
    <row r="78" spans="1:24" s="1" customFormat="1" ht="11.25" customHeight="1">
      <c r="A78" s="24">
        <v>2000</v>
      </c>
      <c r="B78" s="21"/>
      <c r="C78" s="47">
        <f>C31/0.7722</f>
        <v>1758.0056889486546</v>
      </c>
      <c r="D78" s="23"/>
      <c r="E78" s="47">
        <f>E31/0.7722</f>
        <v>4977.6324882880017</v>
      </c>
      <c r="F78" s="23"/>
      <c r="G78" s="9">
        <v>-3</v>
      </c>
      <c r="H78" s="27"/>
      <c r="I78" s="27"/>
      <c r="J78" s="27"/>
      <c r="K78" s="27"/>
      <c r="L78" s="27"/>
      <c r="M78" s="9">
        <v>-3</v>
      </c>
      <c r="N78" s="27"/>
      <c r="O78" s="47">
        <f>O31/0.7722</f>
        <v>318.62725911207946</v>
      </c>
      <c r="P78" s="23"/>
      <c r="Q78" s="47">
        <f>Q31/0.7722</f>
        <v>377.03052821644354</v>
      </c>
      <c r="R78" s="23"/>
      <c r="S78" s="47">
        <f>S31/0.7722</f>
        <v>1020.1864547216492</v>
      </c>
      <c r="T78" s="23"/>
      <c r="U78" s="23"/>
      <c r="V78" s="47">
        <f>V31/0.7722</f>
        <v>243.3003832846934</v>
      </c>
      <c r="W78" s="21"/>
      <c r="X78" s="10"/>
    </row>
    <row r="79" spans="1:24" s="1" customFormat="1" ht="11.25" customHeight="1">
      <c r="A79" s="24">
        <v>2001</v>
      </c>
      <c r="B79" s="21"/>
      <c r="C79" s="47">
        <f>C32/0.7982</f>
        <v>1822.0940607931084</v>
      </c>
      <c r="D79" s="23"/>
      <c r="E79" s="47">
        <f>E32/0.7982</f>
        <v>5019.0460310822109</v>
      </c>
      <c r="F79" s="23"/>
      <c r="G79" s="9">
        <v>-3</v>
      </c>
      <c r="H79" s="23"/>
      <c r="I79" s="23"/>
      <c r="J79" s="23"/>
      <c r="K79" s="23"/>
      <c r="L79" s="23"/>
      <c r="M79" s="9">
        <v>-3</v>
      </c>
      <c r="N79" s="23"/>
      <c r="O79" s="47">
        <f>O32/0.7982</f>
        <v>329.91758460964979</v>
      </c>
      <c r="P79" s="23"/>
      <c r="Q79" s="47">
        <f>Q32/0.7982</f>
        <v>387.58345183800071</v>
      </c>
      <c r="R79" s="23"/>
      <c r="S79" s="47">
        <f>S32/0.7982</f>
        <v>996.44327009983112</v>
      </c>
      <c r="T79" s="23"/>
      <c r="U79" s="23"/>
      <c r="V79" s="47">
        <f>V32/0.7982</f>
        <v>280.68614550400252</v>
      </c>
      <c r="W79" s="21"/>
      <c r="X79" s="10"/>
    </row>
    <row r="80" spans="1:24" s="1" customFormat="1" ht="11.25" customHeight="1">
      <c r="A80" s="24">
        <v>2002</v>
      </c>
      <c r="B80" s="21"/>
      <c r="C80" s="47">
        <f>C33/0.8194</f>
        <v>1885.7538107418486</v>
      </c>
      <c r="D80" s="23"/>
      <c r="E80" s="47">
        <f>E33/0.8194</f>
        <v>5254.0891909566026</v>
      </c>
      <c r="F80" s="23"/>
      <c r="G80" s="9">
        <v>-3</v>
      </c>
      <c r="H80" s="23"/>
      <c r="I80" s="23"/>
      <c r="J80" s="23"/>
      <c r="K80" s="23"/>
      <c r="L80" s="23"/>
      <c r="M80" s="9">
        <v>-3</v>
      </c>
      <c r="N80" s="23"/>
      <c r="O80" s="47">
        <f>O33/0.8194</f>
        <v>329.92563321442179</v>
      </c>
      <c r="P80" s="23"/>
      <c r="Q80" s="47">
        <f>Q33/0.8194</f>
        <v>393.15789631267904</v>
      </c>
      <c r="R80" s="23"/>
      <c r="S80" s="47">
        <f>S33/0.8194</f>
        <v>1067.111627263575</v>
      </c>
      <c r="T80" s="23"/>
      <c r="U80" s="23"/>
      <c r="V80" s="47">
        <f>V33/0.8194</f>
        <v>314.89017439760289</v>
      </c>
      <c r="W80" s="21"/>
      <c r="X80" s="10"/>
    </row>
    <row r="81" spans="1:26" s="1" customFormat="1" ht="11.25" customHeight="1">
      <c r="A81" s="24">
        <v>2003</v>
      </c>
      <c r="B81" s="21"/>
      <c r="C81" s="47">
        <f>C34/0.8485</f>
        <v>1892.3661500448331</v>
      </c>
      <c r="D81" s="23"/>
      <c r="E81" s="47">
        <f>E34/0.8485</f>
        <v>5143.5836546635119</v>
      </c>
      <c r="F81" s="23"/>
      <c r="G81" s="9">
        <v>-3</v>
      </c>
      <c r="H81" s="23"/>
      <c r="I81" s="23"/>
      <c r="J81" s="23"/>
      <c r="K81" s="23"/>
      <c r="L81" s="23"/>
      <c r="M81" s="9">
        <v>-3</v>
      </c>
      <c r="N81" s="23"/>
      <c r="O81" s="47">
        <f>O34/0.8485</f>
        <v>335.3866353269658</v>
      </c>
      <c r="P81" s="23"/>
      <c r="Q81" s="47">
        <f>Q34/0.8485</f>
        <v>399.04844824889676</v>
      </c>
      <c r="R81" s="23"/>
      <c r="S81" s="47">
        <f>S34/0.8485</f>
        <v>1004.2788292985061</v>
      </c>
      <c r="T81" s="23"/>
      <c r="U81" s="23"/>
      <c r="V81" s="47">
        <f>V34/0.8485</f>
        <v>351.18193091867363</v>
      </c>
      <c r="W81" s="21"/>
      <c r="X81" s="21"/>
      <c r="Y81" s="48"/>
      <c r="Z81" s="48"/>
    </row>
    <row r="82" spans="1:26" s="1" customFormat="1" ht="11.25" customHeight="1">
      <c r="A82" s="24">
        <v>2004</v>
      </c>
      <c r="B82" s="21"/>
      <c r="C82" s="47">
        <f>C35/0.8814</f>
        <v>1895.496214042282</v>
      </c>
      <c r="D82" s="23"/>
      <c r="E82" s="47">
        <f>E35/0.8814</f>
        <v>4957.1818445355275</v>
      </c>
      <c r="F82" s="23"/>
      <c r="G82" s="9">
        <v>-3</v>
      </c>
      <c r="H82" s="23"/>
      <c r="I82" s="23"/>
      <c r="J82" s="23"/>
      <c r="K82" s="23"/>
      <c r="L82" s="23"/>
      <c r="M82" s="9">
        <v>-3</v>
      </c>
      <c r="N82" s="23"/>
      <c r="O82" s="47">
        <f>O35/0.8814</f>
        <v>337.32901039583453</v>
      </c>
      <c r="P82" s="23"/>
      <c r="Q82" s="47">
        <f>Q35/0.8814</f>
        <v>413.65752038217011</v>
      </c>
      <c r="R82" s="23"/>
      <c r="S82" s="47">
        <f>S35/0.8814</f>
        <v>1020.8119837639572</v>
      </c>
      <c r="T82" s="23"/>
      <c r="U82" s="23"/>
      <c r="V82" s="47">
        <f>V35/0.8814</f>
        <v>379.86307694641999</v>
      </c>
      <c r="W82" s="21"/>
      <c r="X82" s="10"/>
    </row>
    <row r="83" spans="1:26" s="48" customFormat="1" ht="11.25" customHeight="1">
      <c r="A83" s="24">
        <v>2005</v>
      </c>
      <c r="B83" s="21"/>
      <c r="C83" s="47">
        <f>C36/0.9089</f>
        <v>1902.1719523403576</v>
      </c>
      <c r="D83" s="23"/>
      <c r="E83" s="47">
        <f>E36/0.9089</f>
        <v>4913.3548453797812</v>
      </c>
      <c r="F83" s="23"/>
      <c r="G83" s="9">
        <v>-3</v>
      </c>
      <c r="H83" s="23"/>
      <c r="I83" s="23"/>
      <c r="J83" s="23"/>
      <c r="K83" s="23"/>
      <c r="L83" s="23"/>
      <c r="M83" s="9">
        <v>-3</v>
      </c>
      <c r="N83" s="23"/>
      <c r="O83" s="47">
        <f>O36/0.9089</f>
        <v>344.91948982632414</v>
      </c>
      <c r="P83" s="23"/>
      <c r="Q83" s="47">
        <f>Q36/0.9089</f>
        <v>395.98499282468049</v>
      </c>
      <c r="R83" s="23"/>
      <c r="S83" s="47">
        <f>S36/0.9089</f>
        <v>1055.5662593722291</v>
      </c>
      <c r="T83" s="23"/>
      <c r="U83" s="23"/>
      <c r="V83" s="47">
        <f>V36/0.9089</f>
        <v>393.06058698336977</v>
      </c>
      <c r="W83" s="21"/>
      <c r="X83" s="21"/>
    </row>
    <row r="84" spans="1:26" s="48" customFormat="1" ht="11.25" customHeight="1">
      <c r="A84" s="24">
        <v>2006</v>
      </c>
      <c r="B84" s="21"/>
      <c r="C84" s="47">
        <f>C37/0.9376</f>
        <v>1928.4797057534147</v>
      </c>
      <c r="D84" s="23"/>
      <c r="E84" s="47">
        <f>E37/0.9376</f>
        <v>4250.79689226766</v>
      </c>
      <c r="F84" s="23"/>
      <c r="G84" s="9">
        <v>-3</v>
      </c>
      <c r="H84" s="23"/>
      <c r="I84" s="23"/>
      <c r="J84" s="23"/>
      <c r="K84" s="23"/>
      <c r="L84" s="23"/>
      <c r="M84" s="9">
        <v>-3</v>
      </c>
      <c r="N84" s="23"/>
      <c r="O84" s="47">
        <f>O37/0.9376</f>
        <v>330.73395589686953</v>
      </c>
      <c r="P84" s="23"/>
      <c r="Q84" s="47">
        <f>Q37/0.9376</f>
        <v>403.73290206661289</v>
      </c>
      <c r="R84" s="23"/>
      <c r="S84" s="47">
        <f>S37/0.9376</f>
        <v>1111.7994482736262</v>
      </c>
      <c r="T84" s="23"/>
      <c r="U84" s="23"/>
      <c r="V84" s="47">
        <f>V37/0.9376</f>
        <v>395.0217320452806</v>
      </c>
      <c r="W84" s="21"/>
      <c r="X84" s="21"/>
    </row>
    <row r="85" spans="1:26" s="48" customFormat="1" ht="11.25" customHeight="1">
      <c r="A85" s="24">
        <v>2007</v>
      </c>
      <c r="B85" s="21"/>
      <c r="C85" s="47">
        <f>C38/0.9701</f>
        <v>2011.5582245858777</v>
      </c>
      <c r="D85" s="23"/>
      <c r="E85" s="47">
        <f>E38/0.9701</f>
        <v>5131.0823116537522</v>
      </c>
      <c r="F85" s="23"/>
      <c r="G85" s="9">
        <v>-3</v>
      </c>
      <c r="H85" s="23"/>
      <c r="I85" s="23"/>
      <c r="J85" s="23"/>
      <c r="K85" s="23"/>
      <c r="L85" s="23"/>
      <c r="M85" s="9">
        <v>-3</v>
      </c>
      <c r="N85" s="23"/>
      <c r="O85" s="47">
        <f>O38/0.9701</f>
        <v>318.08678942775794</v>
      </c>
      <c r="P85" s="23"/>
      <c r="Q85" s="47">
        <f>Q38/0.9701</f>
        <v>417.91739618349396</v>
      </c>
      <c r="R85" s="23"/>
      <c r="S85" s="47">
        <f>S38/0.9701</f>
        <v>1132.354665384843</v>
      </c>
      <c r="T85" s="23"/>
      <c r="U85" s="23"/>
      <c r="V85" s="47">
        <f>V38/0.9701</f>
        <v>421.31914319832356</v>
      </c>
      <c r="W85" s="21"/>
      <c r="X85" s="21"/>
    </row>
    <row r="86" spans="1:26" s="48" customFormat="1" ht="11.25" customHeight="1">
      <c r="A86" s="28">
        <v>2008</v>
      </c>
      <c r="B86" s="29"/>
      <c r="C86" s="49">
        <f>C39/1</f>
        <v>2035.4276022658919</v>
      </c>
      <c r="D86" s="43"/>
      <c r="E86" s="49">
        <f>E39/1</f>
        <v>4942.6295442753808</v>
      </c>
      <c r="F86" s="43"/>
      <c r="G86" s="11">
        <v>-3</v>
      </c>
      <c r="H86" s="43"/>
      <c r="I86" s="43"/>
      <c r="J86" s="43"/>
      <c r="K86" s="43"/>
      <c r="L86" s="43"/>
      <c r="M86" s="11">
        <v>-3</v>
      </c>
      <c r="N86" s="43"/>
      <c r="O86" s="49">
        <f>O39/1</f>
        <v>335.15137468362866</v>
      </c>
      <c r="P86" s="43"/>
      <c r="Q86" s="49">
        <f>Q39/1</f>
        <v>434.19342718810503</v>
      </c>
      <c r="R86" s="43"/>
      <c r="S86" s="49">
        <f>S39/1</f>
        <v>1191.3231767438951</v>
      </c>
      <c r="T86" s="43"/>
      <c r="U86" s="43"/>
      <c r="V86" s="49">
        <f>V39/1</f>
        <v>433.35098924808045</v>
      </c>
      <c r="W86" s="29"/>
      <c r="X86" s="21"/>
    </row>
    <row r="87" spans="1:26" s="68" customFormat="1" ht="9.6" customHeight="1">
      <c r="A87" s="64" t="s">
        <v>52</v>
      </c>
      <c r="B87" s="65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7"/>
    </row>
    <row r="88" spans="1:26" s="5" customFormat="1" ht="9" customHeight="1">
      <c r="A88" s="60" t="s">
        <v>50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4"/>
    </row>
    <row r="89" spans="1:26" s="2" customFormat="1" ht="9.6" customHeight="1">
      <c r="A89" s="12" t="s">
        <v>62</v>
      </c>
      <c r="B89" s="13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</row>
    <row r="90" spans="1:26" s="2" customFormat="1" ht="9.6" customHeight="1">
      <c r="A90" s="16" t="s">
        <v>53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</row>
    <row r="91" spans="1:26" s="2" customFormat="1" ht="9.6" customHeight="1">
      <c r="A91" s="17" t="s">
        <v>54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6" s="2" customFormat="1" ht="9.6" customHeight="1">
      <c r="A92" s="17" t="s">
        <v>55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</row>
    <row r="93" spans="1:26" s="5" customFormat="1" ht="9.6" customHeight="1">
      <c r="A93" s="15" t="s">
        <v>63</v>
      </c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</row>
    <row r="94" spans="1:26" s="5" customFormat="1" ht="9" customHeight="1">
      <c r="A94" s="59" t="s">
        <v>51</v>
      </c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</row>
    <row r="95" spans="1:26" s="5" customFormat="1" ht="9" customHeight="1">
      <c r="A95" s="16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</row>
    <row r="96" spans="1:26" s="5" customFormat="1" ht="9" customHeight="1">
      <c r="A96" s="18" t="s">
        <v>64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</row>
    <row r="97" spans="1:25" s="5" customFormat="1" ht="9" customHeight="1">
      <c r="A97" s="17" t="s">
        <v>69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</row>
    <row r="98" spans="1:25" s="5" customFormat="1" ht="9" customHeight="1">
      <c r="A98" s="17" t="s">
        <v>68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</row>
    <row r="99" spans="1:25" ht="9" customHeight="1">
      <c r="A99" s="59" t="s">
        <v>70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</row>
    <row r="100" spans="1:25" ht="9.6" customHeight="1">
      <c r="A100" s="59" t="s">
        <v>71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ht="9.6" customHeight="1">
      <c r="A101" s="59" t="s">
        <v>65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ht="9.6" customHeight="1">
      <c r="A102" s="59" t="s">
        <v>66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ht="9" customHeight="1">
      <c r="A103" s="59" t="s">
        <v>67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ht="9" customHeight="1">
      <c r="A104" s="59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s="61" customFormat="1" ht="9.6" customHeight="1">
      <c r="A105" s="19" t="s">
        <v>56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</row>
    <row r="106" spans="1:25" s="61" customFormat="1" ht="9.6" customHeight="1">
      <c r="A106" s="17" t="s">
        <v>58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</row>
    <row r="107" spans="1:25" ht="9.6" customHeight="1">
      <c r="A107" s="17" t="s">
        <v>57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</row>
    <row r="108" spans="1:25">
      <c r="B108" s="14"/>
    </row>
  </sheetData>
  <mergeCells count="3">
    <mergeCell ref="C52:W52"/>
    <mergeCell ref="A1:W1"/>
    <mergeCell ref="A47:W47"/>
  </mergeCells>
  <phoneticPr fontId="2" type="noConversion"/>
  <printOptions gridLinesSet="0"/>
  <pageMargins left="0.8" right="0.75" top="1" bottom="0.5" header="0.5" footer="0.5"/>
  <pageSetup firstPageNumber="230" orientation="portrait" horizont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6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TABLE13.13</vt:lpstr>
      <vt:lpstr>TABLE13.13!Print_Area</vt:lpstr>
      <vt:lpstr>Print_Area</vt:lpstr>
      <vt:lpstr>TABLE13.13!Print_Area_MI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2011-05-17T16:44:06Z</cp:lastPrinted>
  <dcterms:created xsi:type="dcterms:W3CDTF">1999-10-08T13:42:34Z</dcterms:created>
  <dcterms:modified xsi:type="dcterms:W3CDTF">2011-05-17T22:16:14Z</dcterms:modified>
</cp:coreProperties>
</file>