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5" sheetId="1" r:id="rId1"/>
  </sheets>
  <definedNames>
    <definedName name="_Regression_Int" localSheetId="0" hidden="1">1</definedName>
    <definedName name="_xlnm.Print_Area" localSheetId="0">TABLE13.15!$A$1:$V$109</definedName>
    <definedName name="_xlnm.Print_Area">TABLE13.15!$A$1:$U$106</definedName>
    <definedName name="Print_Area_MI" localSheetId="0">TABLE13.15!$A$1:$V$106</definedName>
  </definedNames>
  <calcPr calcId="125725"/>
</workbook>
</file>

<file path=xl/calcChain.xml><?xml version="1.0" encoding="utf-8"?>
<calcChain xmlns="http://schemas.openxmlformats.org/spreadsheetml/2006/main">
  <c r="U40" i="1"/>
  <c r="S40"/>
  <c r="Q40"/>
  <c r="O40"/>
  <c r="M40"/>
  <c r="G40"/>
  <c r="E40"/>
  <c r="C40"/>
  <c r="U85"/>
  <c r="S85"/>
  <c r="Q85"/>
  <c r="O85"/>
  <c r="M85"/>
  <c r="G85"/>
  <c r="E85"/>
  <c r="C85"/>
  <c r="U84"/>
  <c r="S84"/>
  <c r="Q84"/>
  <c r="O84"/>
  <c r="M84"/>
  <c r="G84"/>
  <c r="E84"/>
  <c r="C84"/>
  <c r="U83"/>
  <c r="S83"/>
  <c r="Q83"/>
  <c r="O83"/>
  <c r="M83"/>
  <c r="G83"/>
  <c r="E83"/>
  <c r="C83"/>
  <c r="U82"/>
  <c r="S82"/>
  <c r="Q82"/>
  <c r="O82"/>
  <c r="M82"/>
  <c r="G82"/>
  <c r="E82"/>
  <c r="C82"/>
  <c r="U81"/>
  <c r="S81"/>
  <c r="Q81"/>
  <c r="O81"/>
  <c r="M81"/>
  <c r="G81"/>
  <c r="E81"/>
  <c r="C81"/>
  <c r="U80"/>
  <c r="S80"/>
  <c r="Q80"/>
  <c r="O80"/>
  <c r="M80"/>
  <c r="G80"/>
  <c r="E80"/>
  <c r="C80"/>
  <c r="U79"/>
  <c r="S79"/>
  <c r="Q79"/>
  <c r="O79"/>
  <c r="M79"/>
  <c r="G79"/>
  <c r="E79"/>
  <c r="C79"/>
  <c r="U78"/>
  <c r="S78"/>
  <c r="Q78"/>
  <c r="O78"/>
  <c r="M78"/>
  <c r="G78"/>
  <c r="E78"/>
  <c r="C78"/>
  <c r="U77"/>
  <c r="S77"/>
  <c r="Q77"/>
  <c r="O77"/>
  <c r="M77"/>
  <c r="G77"/>
  <c r="E77"/>
  <c r="C77"/>
  <c r="U76"/>
  <c r="S76"/>
  <c r="Q76"/>
  <c r="O76"/>
  <c r="M76"/>
  <c r="G76"/>
  <c r="E76"/>
  <c r="C76"/>
  <c r="U75"/>
  <c r="S75"/>
  <c r="Q75"/>
  <c r="O75"/>
  <c r="M75"/>
  <c r="G75"/>
  <c r="E75"/>
  <c r="C75"/>
  <c r="U74"/>
  <c r="S74"/>
  <c r="Q74"/>
  <c r="O74"/>
  <c r="M74"/>
  <c r="G74"/>
  <c r="E74"/>
  <c r="C74"/>
  <c r="U73"/>
  <c r="S73"/>
  <c r="Q73"/>
  <c r="O73"/>
  <c r="M73"/>
  <c r="G73"/>
  <c r="E73"/>
  <c r="C73"/>
  <c r="U72"/>
  <c r="S72"/>
  <c r="Q72"/>
  <c r="O72"/>
  <c r="M72"/>
  <c r="G72"/>
  <c r="E72"/>
  <c r="C72"/>
  <c r="U71"/>
  <c r="S71"/>
  <c r="Q71"/>
  <c r="O71"/>
  <c r="M71"/>
  <c r="G71"/>
  <c r="E71"/>
  <c r="C71"/>
  <c r="U70"/>
  <c r="S70"/>
  <c r="Q70"/>
  <c r="O70"/>
  <c r="M70"/>
  <c r="G70"/>
  <c r="E70"/>
  <c r="C70"/>
  <c r="U69"/>
  <c r="S69"/>
  <c r="Q69"/>
  <c r="O69"/>
  <c r="M69"/>
  <c r="G69"/>
  <c r="E69"/>
  <c r="C69"/>
  <c r="U68"/>
  <c r="S68"/>
  <c r="Q68"/>
  <c r="O68"/>
  <c r="M68"/>
  <c r="G68"/>
  <c r="E68"/>
  <c r="C68"/>
  <c r="U67"/>
  <c r="S67"/>
  <c r="Q67"/>
  <c r="O67"/>
  <c r="M67"/>
  <c r="G67"/>
  <c r="E67"/>
  <c r="C67"/>
  <c r="U66"/>
  <c r="S66"/>
  <c r="Q66"/>
  <c r="O66"/>
  <c r="M66"/>
  <c r="G66"/>
  <c r="E66"/>
  <c r="C66"/>
  <c r="U65"/>
  <c r="S65"/>
  <c r="Q65"/>
  <c r="O65"/>
  <c r="M65"/>
  <c r="G65"/>
  <c r="E65"/>
  <c r="C65"/>
  <c r="U64"/>
  <c r="S64"/>
  <c r="Q64"/>
  <c r="O64"/>
  <c r="M64"/>
  <c r="G64"/>
  <c r="E64"/>
  <c r="C64"/>
  <c r="U63"/>
  <c r="S63"/>
  <c r="Q63"/>
  <c r="O63"/>
  <c r="M63"/>
  <c r="G63"/>
  <c r="E63"/>
  <c r="C63"/>
  <c r="U62"/>
  <c r="S62"/>
  <c r="Q62"/>
  <c r="O62"/>
  <c r="M62"/>
  <c r="G62"/>
  <c r="E62"/>
  <c r="C62"/>
  <c r="U61"/>
  <c r="S61"/>
  <c r="Q61"/>
  <c r="O61"/>
  <c r="M61"/>
  <c r="G61"/>
  <c r="E61"/>
  <c r="C61"/>
  <c r="U60"/>
  <c r="S60"/>
  <c r="Q60"/>
  <c r="O60"/>
  <c r="M60"/>
  <c r="G60"/>
  <c r="E60"/>
  <c r="C60"/>
  <c r="U59"/>
  <c r="S59"/>
  <c r="Q59"/>
  <c r="O59"/>
  <c r="M59"/>
  <c r="G59"/>
  <c r="E59"/>
  <c r="C59"/>
  <c r="U58"/>
  <c r="S58"/>
  <c r="Q58"/>
  <c r="O58"/>
  <c r="M58"/>
  <c r="G58"/>
  <c r="E58"/>
  <c r="C58"/>
  <c r="U57"/>
  <c r="S57"/>
  <c r="Q57"/>
  <c r="O57"/>
  <c r="M57"/>
  <c r="G57"/>
  <c r="E57"/>
  <c r="C57"/>
  <c r="U56"/>
  <c r="S56"/>
  <c r="Q56"/>
  <c r="O56"/>
  <c r="M56"/>
  <c r="G56"/>
  <c r="E56"/>
  <c r="C56"/>
  <c r="U55"/>
  <c r="S55"/>
  <c r="Q55"/>
  <c r="O55"/>
  <c r="M55"/>
  <c r="G55"/>
  <c r="E55"/>
  <c r="C55"/>
  <c r="U54"/>
  <c r="S54"/>
  <c r="Q54"/>
  <c r="O54"/>
  <c r="M54"/>
  <c r="G54"/>
  <c r="E54"/>
  <c r="C54"/>
  <c r="U53"/>
  <c r="S53"/>
  <c r="Q53"/>
  <c r="O53"/>
  <c r="M53"/>
  <c r="G53"/>
  <c r="E53"/>
  <c r="C53"/>
  <c r="U52"/>
  <c r="S52"/>
  <c r="Q52"/>
  <c r="O52"/>
  <c r="M52"/>
  <c r="G52"/>
  <c r="E52"/>
  <c r="C52"/>
  <c r="U86"/>
  <c r="S86"/>
  <c r="Q86"/>
  <c r="O86"/>
  <c r="M86"/>
  <c r="G86"/>
  <c r="E86"/>
  <c r="C86"/>
  <c r="U39"/>
  <c r="S39"/>
  <c r="Q39"/>
  <c r="O39"/>
  <c r="M39"/>
  <c r="G39"/>
  <c r="E39"/>
  <c r="C39"/>
  <c r="U38"/>
  <c r="S38"/>
  <c r="Q38"/>
  <c r="O38"/>
  <c r="M38"/>
  <c r="G38"/>
  <c r="E38"/>
  <c r="C38"/>
  <c r="U37"/>
  <c r="S37"/>
  <c r="Q37"/>
  <c r="O37"/>
  <c r="M37"/>
  <c r="G37"/>
  <c r="E37"/>
  <c r="C37"/>
  <c r="U36"/>
  <c r="S36"/>
  <c r="Q36"/>
  <c r="O36"/>
  <c r="M36"/>
  <c r="G36"/>
  <c r="E36"/>
  <c r="C36"/>
  <c r="U35"/>
  <c r="S35"/>
  <c r="Q35"/>
  <c r="O35"/>
  <c r="M35"/>
  <c r="G35"/>
  <c r="E35"/>
  <c r="C35"/>
  <c r="U34"/>
  <c r="S34"/>
  <c r="Q34"/>
  <c r="O34"/>
  <c r="M34"/>
  <c r="G34"/>
  <c r="E34"/>
  <c r="C34"/>
  <c r="U33"/>
  <c r="S33"/>
  <c r="Q33"/>
  <c r="O33"/>
  <c r="M33"/>
  <c r="G33"/>
  <c r="E33"/>
  <c r="C33"/>
  <c r="U32"/>
  <c r="S32"/>
  <c r="Q32"/>
  <c r="O32"/>
  <c r="M32"/>
  <c r="G32"/>
  <c r="E32"/>
  <c r="C32"/>
  <c r="U31"/>
  <c r="S31"/>
  <c r="Q31"/>
  <c r="O31"/>
  <c r="M31"/>
  <c r="G31"/>
  <c r="E31"/>
  <c r="C31"/>
  <c r="U30"/>
  <c r="S30"/>
  <c r="Q30"/>
  <c r="O30"/>
  <c r="M30"/>
  <c r="G30"/>
  <c r="E30"/>
  <c r="C30"/>
  <c r="U29"/>
  <c r="S29"/>
  <c r="Q29"/>
  <c r="O29"/>
  <c r="M29"/>
  <c r="G29"/>
  <c r="E29"/>
  <c r="C29"/>
  <c r="L52"/>
  <c r="K52"/>
  <c r="J52"/>
  <c r="I52"/>
  <c r="L71"/>
  <c r="K71"/>
  <c r="J71"/>
  <c r="I71"/>
  <c r="L70"/>
  <c r="K70"/>
  <c r="J70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</calcChain>
</file>

<file path=xl/sharedStrings.xml><?xml version="1.0" encoding="utf-8"?>
<sst xmlns="http://schemas.openxmlformats.org/spreadsheetml/2006/main" count="105" uniqueCount="70">
  <si>
    <t/>
  </si>
  <si>
    <t>Inpatient</t>
  </si>
  <si>
    <t>nursing</t>
  </si>
  <si>
    <t>Outpatient</t>
  </si>
  <si>
    <t>Prescribed</t>
  </si>
  <si>
    <t>Year</t>
  </si>
  <si>
    <t>Hospital</t>
  </si>
  <si>
    <t>ICF/MR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</si>
  <si>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</si>
  <si>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</si>
  <si>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</si>
  <si>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</si>
  <si>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</si>
  <si>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</si>
  <si>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</si>
  <si>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</si>
  <si>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</si>
  <si>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</si>
  <si>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</si>
  <si>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</si>
  <si>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</si>
  <si>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</si>
  <si>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</si>
  <si>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</si>
  <si>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</si>
  <si>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</si>
  <si>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</si>
  <si>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</si>
  <si>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</si>
  <si>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</si>
  <si>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</si>
  <si>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</si>
  <si>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</si>
  <si>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Nursing   </t>
  </si>
  <si>
    <t>Table 13.15</t>
  </si>
  <si>
    <t xml:space="preserve">Medicaid Payments per Person Served (Beneficiary), Aged, by Type of Service: </t>
  </si>
  <si>
    <t xml:space="preserve">some not shown separately. </t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</si>
  <si>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</si>
  <si>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</si>
  <si>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user.</t>
  </si>
  <si>
    <t>the definitions of related categories of service. Reporting for 1998 added categories of service for personal care support services and home and community-</t>
  </si>
  <si>
    <t xml:space="preserve">based waiver services (category not shown separately in table). In 1999 the home and community-based waiver services were reclassified into the other </t>
  </si>
  <si>
    <t>related categories of service (category not shown separately in table).</t>
  </si>
  <si>
    <t xml:space="preserve">SOURCES: Centers for Medicare &amp; Medicaid Services, Center for Medicaid and State Operations: Statistical Report on Medical Care: Eligibles, Recipients, </t>
  </si>
  <si>
    <t xml:space="preserve">Payments, and Services (HCFA 2082), Medicaid Statistical Information System (MSIS), and the personal health care consumption indices from the U.S. 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</si>
  <si>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</si>
  <si>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</si>
  <si>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</si>
  <si>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r>
      <t xml:space="preserve"> 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</si>
  <si>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</si>
  <si>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     Health </t>
    </r>
    <r>
      <rPr>
        <vertAlign val="superscript"/>
        <sz val="8"/>
        <rFont val="Arial"/>
        <family val="2"/>
      </rPr>
      <t>3</t>
    </r>
  </si>
  <si>
    <t xml:space="preserve">  Home</t>
  </si>
  <si>
    <t xml:space="preserve">  ICF/MR</t>
  </si>
  <si>
    <r>
      <t xml:space="preserve">  Facility </t>
    </r>
    <r>
      <rPr>
        <vertAlign val="superscript"/>
        <sz val="8"/>
        <rFont val="Arial"/>
        <family val="2"/>
      </rPr>
      <t>2</t>
    </r>
  </si>
  <si>
    <t xml:space="preserve">   Nursing   </t>
  </si>
  <si>
    <t xml:space="preserve">  Drugs</t>
  </si>
  <si>
    <r>
      <t xml:space="preserve">    Health </t>
    </r>
    <r>
      <rPr>
        <vertAlign val="superscript"/>
        <sz val="8"/>
        <rFont val="Arial"/>
        <family val="2"/>
      </rPr>
      <t>3</t>
    </r>
  </si>
  <si>
    <t xml:space="preserve"> Home</t>
  </si>
  <si>
    <t>Table 13.15—Continued</t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</si>
  <si>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</si>
  <si>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</si>
  <si>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</si>
  <si>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</si>
  <si>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</si>
  <si>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</si>
  <si>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</si>
  <si>
    <t>Fiscal Years 1975-2009</t>
  </si>
  <si>
    <t>(Constant 2009 Dollars)</t>
  </si>
  <si>
    <t xml:space="preserve">services, U.S. Department of Commerce, Bureau of Economic Analysis (BEA), expressed in fiscal year 2009 dollars. With the release of the comprehensive </t>
  </si>
  <si>
    <t>Department of Commerce; data development by the Center for Strategic Planning.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</si>
</sst>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9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3" fillId="0" borderId="0" xfId="0" applyFont="1"/>
    <xf numFmtId="164" fontId="0" fillId="0" borderId="0" xfId="0" applyBorder="1" applyAlignment="1">
      <alignment vertical="center"/>
    </xf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7" fillId="0" borderId="0" xfId="0" quotePrefix="1" applyNumberFormat="1" applyFont="1" applyBorder="1" applyAlignment="1" applyProtection="1">
      <alignment horizontal="left"/>
    </xf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8" fillId="0" borderId="0" xfId="0" applyFont="1"/>
    <xf numFmtId="164" fontId="8" fillId="0" borderId="0" xfId="0" applyNumberFormat="1" applyFont="1" applyAlignment="1" applyProtection="1">
      <alignment horizontal="left"/>
    </xf>
    <xf numFmtId="164" fontId="8" fillId="0" borderId="0" xfId="0" applyFont="1" applyAlignment="1" applyProtection="1">
      <alignment horizontal="left"/>
    </xf>
    <xf numFmtId="164" fontId="8" fillId="0" borderId="0" xfId="0" quotePrefix="1" applyFont="1" applyAlignment="1" applyProtection="1">
      <alignment horizontal="left"/>
    </xf>
    <xf numFmtId="164" fontId="8" fillId="0" borderId="0" xfId="0" quotePrefix="1" applyFont="1" applyAlignment="1">
      <alignment horizontal="left"/>
    </xf>
    <xf numFmtId="164" fontId="9" fillId="0" borderId="0" xfId="0" applyFont="1"/>
    <xf numFmtId="164" fontId="6" fillId="0" borderId="0" xfId="0" applyNumberFormat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NumberFormat="1" applyFont="1" applyBorder="1" applyAlignment="1" applyProtection="1">
      <alignment horizontal="center"/>
    </xf>
    <xf numFmtId="164" fontId="6" fillId="0" borderId="0" xfId="0" quotePrefix="1" applyNumberFormat="1" applyFont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>
      <alignment horizontal="center"/>
    </xf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/>
    <xf numFmtId="164" fontId="6" fillId="0" borderId="2" xfId="0" applyNumberFormat="1" applyFont="1" applyBorder="1" applyAlignment="1" applyProtection="1">
      <alignment horizontal="left"/>
    </xf>
    <xf numFmtId="164" fontId="6" fillId="0" borderId="2" xfId="0" applyFont="1" applyBorder="1"/>
    <xf numFmtId="5" fontId="6" fillId="0" borderId="2" xfId="0" applyNumberFormat="1" applyFont="1" applyBorder="1" applyProtection="1"/>
    <xf numFmtId="5" fontId="6" fillId="0" borderId="0" xfId="0" applyNumberFormat="1" applyFont="1" applyBorder="1" applyProtection="1"/>
    <xf numFmtId="37" fontId="6" fillId="0" borderId="0" xfId="0" applyNumberFormat="1" applyFont="1" applyProtection="1"/>
    <xf numFmtId="164" fontId="6" fillId="0" borderId="1" xfId="0" applyNumberFormat="1" applyFont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left"/>
    </xf>
    <xf numFmtId="5" fontId="6" fillId="0" borderId="0" xfId="0" applyNumberFormat="1" applyFont="1" applyProtection="1"/>
    <xf numFmtId="165" fontId="6" fillId="0" borderId="0" xfId="1" applyNumberFormat="1" applyFont="1" applyProtection="1"/>
    <xf numFmtId="165" fontId="6" fillId="0" borderId="0" xfId="1" applyNumberFormat="1" applyFont="1" applyProtection="1">
      <protection locked="0"/>
    </xf>
    <xf numFmtId="165" fontId="6" fillId="0" borderId="0" xfId="1" applyNumberFormat="1" applyFont="1" applyBorder="1" applyProtection="1"/>
    <xf numFmtId="37" fontId="6" fillId="0" borderId="0" xfId="0" applyNumberFormat="1" applyFont="1" applyBorder="1" applyProtection="1"/>
    <xf numFmtId="164" fontId="2" fillId="0" borderId="0" xfId="0" applyFont="1" applyBorder="1"/>
    <xf numFmtId="165" fontId="6" fillId="0" borderId="1" xfId="1" applyNumberFormat="1" applyFont="1" applyBorder="1" applyProtection="1"/>
    <xf numFmtId="37" fontId="6" fillId="0" borderId="1" xfId="0" applyNumberFormat="1" applyFont="1" applyBorder="1" applyProtection="1"/>
    <xf numFmtId="164" fontId="6" fillId="0" borderId="0" xfId="0" quotePrefix="1" applyNumberFormat="1" applyFont="1" applyAlignment="1" applyProtection="1">
      <alignment horizontal="center"/>
    </xf>
    <xf numFmtId="164" fontId="8" fillId="0" borderId="0" xfId="0" applyNumberFormat="1" applyFont="1" applyAlignment="1" applyProtection="1">
      <alignment horizontal="left" vertical="center"/>
    </xf>
    <xf numFmtId="165" fontId="6" fillId="0" borderId="1" xfId="1" applyNumberFormat="1" applyFont="1" applyBorder="1" applyAlignment="1" applyProtection="1">
      <alignment vertical="top"/>
    </xf>
    <xf numFmtId="164" fontId="5" fillId="0" borderId="0" xfId="0" applyNumberFormat="1" applyFont="1" applyAlignment="1" applyProtection="1">
      <alignment horizontal="center" vertical="top"/>
    </xf>
    <xf numFmtId="164" fontId="6" fillId="0" borderId="0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0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W109"/>
  <sheetViews>
    <sheetView showGridLines="0" tabSelected="1" topLeftCell="A34" zoomScale="110" zoomScaleNormal="110" workbookViewId="0">
      <selection activeCell="U40" sqref="U40"/>
    </sheetView>
  </sheetViews>
  <sheetFormatPr defaultColWidth="11.7109375" defaultRowHeight="12.75"/>
  <cols>
    <col min="1" max="1" width="4.85546875" style="18" customWidth="1"/>
    <col min="2" max="2" width="2.7109375" style="18" customWidth="1"/>
    <col min="3" max="3" width="8" style="18" customWidth="1"/>
    <col min="4" max="4" width="3.7109375" style="18" customWidth="1"/>
    <col min="5" max="5" width="6.7109375" style="18" customWidth="1"/>
    <col min="6" max="6" width="3.7109375" style="18" customWidth="1"/>
    <col min="7" max="7" width="7.7109375" style="18" customWidth="1"/>
    <col min="8" max="8" width="3.7109375" style="18" customWidth="1"/>
    <col min="9" max="11" width="0" style="18" hidden="1" customWidth="1"/>
    <col min="12" max="12" width="0.140625" style="18" hidden="1" customWidth="1"/>
    <col min="13" max="13" width="7.42578125" style="18" customWidth="1"/>
    <col min="14" max="14" width="3.7109375" style="18" customWidth="1"/>
    <col min="15" max="15" width="5.7109375" style="18" customWidth="1"/>
    <col min="16" max="16" width="3.7109375" style="18" customWidth="1"/>
    <col min="17" max="17" width="5.7109375" style="18" customWidth="1"/>
    <col min="18" max="18" width="3.7109375" style="18" customWidth="1"/>
    <col min="19" max="19" width="7.7109375" style="18" customWidth="1"/>
    <col min="20" max="20" width="3.7109375" style="18" customWidth="1"/>
    <col min="21" max="21" width="6.7109375" style="18" customWidth="1"/>
    <col min="22" max="22" width="1.7109375" style="18" customWidth="1"/>
  </cols>
  <sheetData>
    <row r="1" spans="1:22" s="2" customFormat="1" ht="15" customHeight="1">
      <c r="A1" s="45" t="s">
        <v>34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2" s="6" customFormat="1" ht="15" customHeight="1">
      <c r="A2" s="48" t="s">
        <v>35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s="3" customFormat="1" ht="15" customHeight="1">
      <c r="A3" s="47" t="s">
        <v>66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s="1" customFormat="1" ht="10.5" customHeight="1">
      <c r="A4" s="19" t="s">
        <v>0</v>
      </c>
      <c r="B4" s="20"/>
      <c r="C4" s="20"/>
      <c r="D4" s="20"/>
      <c r="E4" s="21" t="s">
        <v>1</v>
      </c>
      <c r="F4" s="20"/>
      <c r="G4" s="20"/>
      <c r="H4" s="20"/>
      <c r="I4" s="20"/>
      <c r="J4" s="20"/>
      <c r="K4" s="21" t="s">
        <v>2</v>
      </c>
      <c r="L4" s="20"/>
      <c r="M4" s="22" t="s">
        <v>54</v>
      </c>
      <c r="N4" s="20"/>
      <c r="O4" s="20"/>
      <c r="P4" s="20"/>
      <c r="Q4" s="21" t="s">
        <v>3</v>
      </c>
      <c r="R4" s="20"/>
      <c r="S4" s="21" t="s">
        <v>51</v>
      </c>
      <c r="T4" s="20"/>
      <c r="U4" s="21" t="s">
        <v>4</v>
      </c>
      <c r="V4" s="20"/>
    </row>
    <row r="5" spans="1:22" s="1" customFormat="1" ht="15" customHeight="1">
      <c r="A5" s="23" t="s">
        <v>5</v>
      </c>
      <c r="B5" s="8"/>
      <c r="C5" s="24" t="s">
        <v>48</v>
      </c>
      <c r="D5" s="8"/>
      <c r="E5" s="24" t="s">
        <v>6</v>
      </c>
      <c r="F5" s="8"/>
      <c r="G5" s="24" t="s">
        <v>52</v>
      </c>
      <c r="H5" s="8"/>
      <c r="I5" s="24" t="s">
        <v>8</v>
      </c>
      <c r="J5" s="8"/>
      <c r="K5" s="24" t="s">
        <v>9</v>
      </c>
      <c r="L5" s="8"/>
      <c r="M5" s="24" t="s">
        <v>53</v>
      </c>
      <c r="N5" s="8"/>
      <c r="O5" s="24" t="s">
        <v>10</v>
      </c>
      <c r="P5" s="8"/>
      <c r="Q5" s="24" t="s">
        <v>6</v>
      </c>
      <c r="R5" s="8"/>
      <c r="S5" s="25" t="s">
        <v>50</v>
      </c>
      <c r="T5" s="8"/>
      <c r="U5" s="42" t="s">
        <v>55</v>
      </c>
      <c r="V5" s="26"/>
    </row>
    <row r="6" spans="1:22" s="1" customFormat="1" ht="11.1" customHeight="1">
      <c r="A6" s="27" t="s">
        <v>12</v>
      </c>
      <c r="B6" s="28"/>
      <c r="C6" s="29">
        <v>1205</v>
      </c>
      <c r="D6" s="29"/>
      <c r="E6" s="29">
        <v>271</v>
      </c>
      <c r="F6" s="29"/>
      <c r="G6" s="29">
        <v>6925</v>
      </c>
      <c r="H6" s="29"/>
      <c r="I6" s="29">
        <v>2763</v>
      </c>
      <c r="J6" s="29"/>
      <c r="K6" s="29">
        <v>3754</v>
      </c>
      <c r="L6" s="29"/>
      <c r="M6" s="29">
        <v>3250</v>
      </c>
      <c r="N6" s="29"/>
      <c r="O6" s="29">
        <v>59</v>
      </c>
      <c r="P6" s="29"/>
      <c r="Q6" s="29">
        <v>35</v>
      </c>
      <c r="R6" s="29"/>
      <c r="S6" s="29">
        <v>238</v>
      </c>
      <c r="T6" s="29"/>
      <c r="U6" s="29">
        <v>111</v>
      </c>
      <c r="V6" s="30"/>
    </row>
    <row r="7" spans="1:22" s="1" customFormat="1" ht="10.35" customHeight="1">
      <c r="A7" s="23" t="s">
        <v>13</v>
      </c>
      <c r="B7" s="8"/>
      <c r="C7" s="31">
        <v>1359</v>
      </c>
      <c r="D7" s="31"/>
      <c r="E7" s="31">
        <v>310</v>
      </c>
      <c r="F7" s="31"/>
      <c r="G7" s="31">
        <v>8951</v>
      </c>
      <c r="H7" s="31"/>
      <c r="I7" s="31">
        <v>2985</v>
      </c>
      <c r="J7" s="31"/>
      <c r="K7" s="31">
        <v>3702</v>
      </c>
      <c r="L7" s="31"/>
      <c r="M7" s="31">
        <v>3328</v>
      </c>
      <c r="N7" s="31"/>
      <c r="O7" s="31">
        <v>65</v>
      </c>
      <c r="P7" s="31"/>
      <c r="Q7" s="31">
        <v>42</v>
      </c>
      <c r="R7" s="31"/>
      <c r="S7" s="31">
        <v>493</v>
      </c>
      <c r="T7" s="31"/>
      <c r="U7" s="31">
        <v>134</v>
      </c>
      <c r="V7" s="31"/>
    </row>
    <row r="8" spans="1:22" s="1" customFormat="1" ht="10.35" customHeight="1">
      <c r="A8" s="23" t="s">
        <v>14</v>
      </c>
      <c r="B8" s="8"/>
      <c r="C8" s="31">
        <v>1512</v>
      </c>
      <c r="D8" s="31"/>
      <c r="E8" s="31">
        <v>364</v>
      </c>
      <c r="F8" s="31"/>
      <c r="G8" s="31">
        <v>7482</v>
      </c>
      <c r="H8" s="31"/>
      <c r="I8" s="31">
        <v>3423</v>
      </c>
      <c r="J8" s="31"/>
      <c r="K8" s="31">
        <v>3967</v>
      </c>
      <c r="L8" s="31"/>
      <c r="M8" s="31">
        <v>3679</v>
      </c>
      <c r="N8" s="31"/>
      <c r="O8" s="31">
        <v>71</v>
      </c>
      <c r="P8" s="31"/>
      <c r="Q8" s="31">
        <v>53</v>
      </c>
      <c r="R8" s="31"/>
      <c r="S8" s="31">
        <v>535</v>
      </c>
      <c r="T8" s="31"/>
      <c r="U8" s="31">
        <v>144</v>
      </c>
      <c r="V8" s="31"/>
    </row>
    <row r="9" spans="1:22" s="1" customFormat="1" ht="10.35" customHeight="1">
      <c r="A9" s="23" t="s">
        <v>15</v>
      </c>
      <c r="B9" s="8"/>
      <c r="C9" s="31">
        <v>1869</v>
      </c>
      <c r="D9" s="31"/>
      <c r="E9" s="31">
        <v>446</v>
      </c>
      <c r="F9" s="31"/>
      <c r="G9" s="31">
        <v>9700</v>
      </c>
      <c r="H9" s="31"/>
      <c r="I9" s="31">
        <v>4048</v>
      </c>
      <c r="J9" s="31"/>
      <c r="K9" s="31">
        <v>4684</v>
      </c>
      <c r="L9" s="31"/>
      <c r="M9" s="31">
        <v>4350</v>
      </c>
      <c r="N9" s="31"/>
      <c r="O9" s="31">
        <v>78</v>
      </c>
      <c r="P9" s="31"/>
      <c r="Q9" s="31">
        <v>48</v>
      </c>
      <c r="R9" s="31"/>
      <c r="S9" s="31">
        <v>801</v>
      </c>
      <c r="T9" s="31"/>
      <c r="U9" s="31">
        <v>158</v>
      </c>
      <c r="V9" s="31"/>
    </row>
    <row r="10" spans="1:22" s="1" customFormat="1" ht="10.35" customHeight="1">
      <c r="A10" s="23" t="s">
        <v>16</v>
      </c>
      <c r="B10" s="8"/>
      <c r="C10" s="31">
        <v>2094</v>
      </c>
      <c r="D10" s="31"/>
      <c r="E10" s="31">
        <v>569</v>
      </c>
      <c r="F10" s="31"/>
      <c r="G10" s="31">
        <v>9804</v>
      </c>
      <c r="H10" s="31"/>
      <c r="I10" s="31">
        <v>4701</v>
      </c>
      <c r="J10" s="31"/>
      <c r="K10" s="31">
        <v>5309</v>
      </c>
      <c r="L10" s="31"/>
      <c r="M10" s="31">
        <v>4972</v>
      </c>
      <c r="N10" s="31"/>
      <c r="O10" s="31">
        <v>83</v>
      </c>
      <c r="P10" s="31"/>
      <c r="Q10" s="31">
        <v>67</v>
      </c>
      <c r="R10" s="31"/>
      <c r="S10" s="31">
        <v>1387</v>
      </c>
      <c r="T10" s="31"/>
      <c r="U10" s="31">
        <v>179</v>
      </c>
      <c r="V10" s="31"/>
    </row>
    <row r="11" spans="1:22" s="1" customFormat="1" ht="10.35" customHeight="1">
      <c r="A11" s="23" t="s">
        <v>17</v>
      </c>
      <c r="B11" s="8"/>
      <c r="C11" s="31">
        <v>2540</v>
      </c>
      <c r="D11" s="31"/>
      <c r="E11" s="31">
        <v>970</v>
      </c>
      <c r="F11" s="31"/>
      <c r="G11" s="31">
        <v>16346</v>
      </c>
      <c r="H11" s="31"/>
      <c r="I11" s="31">
        <v>5334</v>
      </c>
      <c r="J11" s="31"/>
      <c r="K11" s="31">
        <v>6266</v>
      </c>
      <c r="L11" s="31"/>
      <c r="M11" s="31">
        <v>5742</v>
      </c>
      <c r="N11" s="31"/>
      <c r="O11" s="31">
        <v>101</v>
      </c>
      <c r="P11" s="31"/>
      <c r="Q11" s="31">
        <v>74</v>
      </c>
      <c r="R11" s="31"/>
      <c r="S11" s="31">
        <v>1873</v>
      </c>
      <c r="T11" s="31"/>
      <c r="U11" s="31">
        <v>198</v>
      </c>
      <c r="V11" s="31"/>
    </row>
    <row r="12" spans="1:22" s="1" customFormat="1" ht="10.35" customHeight="1">
      <c r="A12" s="23" t="s">
        <v>18</v>
      </c>
      <c r="B12" s="8"/>
      <c r="C12" s="31">
        <v>2948</v>
      </c>
      <c r="D12" s="31"/>
      <c r="E12" s="31">
        <v>1115</v>
      </c>
      <c r="F12" s="31"/>
      <c r="G12" s="31">
        <v>19247</v>
      </c>
      <c r="H12" s="31"/>
      <c r="I12" s="31">
        <v>5703</v>
      </c>
      <c r="J12" s="31"/>
      <c r="K12" s="31">
        <v>6681</v>
      </c>
      <c r="L12" s="31"/>
      <c r="M12" s="31">
        <v>6137</v>
      </c>
      <c r="N12" s="31"/>
      <c r="O12" s="31">
        <v>118</v>
      </c>
      <c r="P12" s="31"/>
      <c r="Q12" s="31">
        <v>91</v>
      </c>
      <c r="R12" s="31"/>
      <c r="S12" s="31">
        <v>2624</v>
      </c>
      <c r="T12" s="31"/>
      <c r="U12" s="31">
        <v>230</v>
      </c>
      <c r="V12" s="31"/>
    </row>
    <row r="13" spans="1:22" s="1" customFormat="1" ht="10.35" customHeight="1">
      <c r="A13" s="23" t="s">
        <v>19</v>
      </c>
      <c r="B13" s="8"/>
      <c r="C13" s="31">
        <v>3315</v>
      </c>
      <c r="D13" s="31"/>
      <c r="E13" s="31">
        <v>1241</v>
      </c>
      <c r="F13" s="31"/>
      <c r="G13" s="31">
        <v>11464</v>
      </c>
      <c r="H13" s="31"/>
      <c r="I13" s="31">
        <v>6204</v>
      </c>
      <c r="J13" s="31"/>
      <c r="K13" s="31">
        <v>7974</v>
      </c>
      <c r="L13" s="31"/>
      <c r="M13" s="31">
        <v>6945</v>
      </c>
      <c r="N13" s="31"/>
      <c r="O13" s="31">
        <v>115</v>
      </c>
      <c r="P13" s="31"/>
      <c r="Q13" s="31">
        <v>101</v>
      </c>
      <c r="R13" s="31"/>
      <c r="S13" s="31">
        <v>2944</v>
      </c>
      <c r="T13" s="31"/>
      <c r="U13" s="31">
        <v>249</v>
      </c>
      <c r="V13" s="31"/>
    </row>
    <row r="14" spans="1:22" s="1" customFormat="1" ht="10.35" customHeight="1">
      <c r="A14" s="23" t="s">
        <v>20</v>
      </c>
      <c r="B14" s="8"/>
      <c r="C14" s="31">
        <v>3545</v>
      </c>
      <c r="D14" s="31"/>
      <c r="E14" s="31">
        <v>1682</v>
      </c>
      <c r="F14" s="31"/>
      <c r="G14" s="31">
        <v>20348</v>
      </c>
      <c r="H14" s="31"/>
      <c r="I14" s="31">
        <v>6344</v>
      </c>
      <c r="J14" s="31"/>
      <c r="K14" s="31">
        <v>7777</v>
      </c>
      <c r="L14" s="31"/>
      <c r="M14" s="31">
        <v>6942</v>
      </c>
      <c r="N14" s="31"/>
      <c r="O14" s="31">
        <v>114</v>
      </c>
      <c r="P14" s="31"/>
      <c r="Q14" s="31">
        <v>97</v>
      </c>
      <c r="R14" s="31"/>
      <c r="S14" s="31">
        <v>1829</v>
      </c>
      <c r="T14" s="31"/>
      <c r="U14" s="31">
        <v>274</v>
      </c>
      <c r="V14" s="31"/>
    </row>
    <row r="15" spans="1:22" s="1" customFormat="1" ht="10.35" customHeight="1">
      <c r="A15" s="23" t="s">
        <v>21</v>
      </c>
      <c r="B15" s="8"/>
      <c r="C15" s="31">
        <v>3957</v>
      </c>
      <c r="D15" s="31"/>
      <c r="E15" s="31">
        <v>1778</v>
      </c>
      <c r="F15" s="31"/>
      <c r="G15" s="31">
        <v>23343</v>
      </c>
      <c r="H15" s="31"/>
      <c r="I15" s="31">
        <v>6909</v>
      </c>
      <c r="J15" s="31"/>
      <c r="K15" s="31">
        <v>8193</v>
      </c>
      <c r="L15" s="31"/>
      <c r="M15" s="31">
        <v>7430</v>
      </c>
      <c r="N15" s="31"/>
      <c r="O15" s="31">
        <v>119</v>
      </c>
      <c r="P15" s="31"/>
      <c r="Q15" s="31">
        <v>105</v>
      </c>
      <c r="R15" s="31"/>
      <c r="S15" s="31">
        <v>2263</v>
      </c>
      <c r="T15" s="31"/>
      <c r="U15" s="31">
        <v>312</v>
      </c>
      <c r="V15" s="31"/>
    </row>
    <row r="16" spans="1:22" s="1" customFormat="1" ht="10.35" customHeight="1">
      <c r="A16" s="23" t="s">
        <v>22</v>
      </c>
      <c r="B16" s="8"/>
      <c r="C16" s="31">
        <v>4605</v>
      </c>
      <c r="D16" s="31"/>
      <c r="E16" s="31">
        <v>1990</v>
      </c>
      <c r="F16" s="31"/>
      <c r="G16" s="31">
        <v>26926</v>
      </c>
      <c r="H16" s="31"/>
      <c r="I16" s="31">
        <v>7491</v>
      </c>
      <c r="J16" s="31"/>
      <c r="K16" s="31">
        <v>8883</v>
      </c>
      <c r="L16" s="31"/>
      <c r="M16" s="31">
        <v>8035</v>
      </c>
      <c r="N16" s="31"/>
      <c r="O16" s="31">
        <v>122</v>
      </c>
      <c r="P16" s="31"/>
      <c r="Q16" s="31">
        <v>131</v>
      </c>
      <c r="R16" s="31"/>
      <c r="S16" s="31">
        <v>2731</v>
      </c>
      <c r="T16" s="31"/>
      <c r="U16" s="31">
        <v>368</v>
      </c>
      <c r="V16" s="31"/>
    </row>
    <row r="17" spans="1:22" s="1" customFormat="1" ht="10.35" customHeight="1">
      <c r="A17" s="23" t="s">
        <v>23</v>
      </c>
      <c r="B17" s="8"/>
      <c r="C17" s="31">
        <v>4808</v>
      </c>
      <c r="D17" s="31"/>
      <c r="E17" s="31">
        <v>2228</v>
      </c>
      <c r="F17" s="31"/>
      <c r="G17" s="31">
        <v>32328</v>
      </c>
      <c r="H17" s="31"/>
      <c r="I17" s="31">
        <v>7829</v>
      </c>
      <c r="J17" s="31"/>
      <c r="K17" s="31">
        <v>9476</v>
      </c>
      <c r="L17" s="31"/>
      <c r="M17" s="31">
        <v>8487</v>
      </c>
      <c r="N17" s="31"/>
      <c r="O17" s="31">
        <v>119</v>
      </c>
      <c r="P17" s="31"/>
      <c r="Q17" s="31">
        <v>142</v>
      </c>
      <c r="R17" s="31"/>
      <c r="S17" s="31">
        <v>3015</v>
      </c>
      <c r="T17" s="31"/>
      <c r="U17" s="31">
        <v>394</v>
      </c>
      <c r="V17" s="31"/>
    </row>
    <row r="18" spans="1:22" s="1" customFormat="1" ht="10.35" customHeight="1">
      <c r="A18" s="23" t="s">
        <v>24</v>
      </c>
      <c r="B18" s="8"/>
      <c r="C18" s="31">
        <v>4975</v>
      </c>
      <c r="D18" s="31"/>
      <c r="E18" s="31">
        <v>1898</v>
      </c>
      <c r="F18" s="31"/>
      <c r="G18" s="31">
        <v>39854</v>
      </c>
      <c r="H18" s="31"/>
      <c r="I18" s="31">
        <v>8208</v>
      </c>
      <c r="J18" s="31"/>
      <c r="K18" s="31">
        <v>9875</v>
      </c>
      <c r="L18" s="31"/>
      <c r="M18" s="31">
        <v>8862</v>
      </c>
      <c r="N18" s="31"/>
      <c r="O18" s="31">
        <v>111</v>
      </c>
      <c r="P18" s="31"/>
      <c r="Q18" s="31">
        <v>159</v>
      </c>
      <c r="R18" s="31"/>
      <c r="S18" s="31">
        <v>3551</v>
      </c>
      <c r="T18" s="31"/>
      <c r="U18" s="31">
        <v>432</v>
      </c>
      <c r="V18" s="31"/>
    </row>
    <row r="19" spans="1:22" s="1" customFormat="1" ht="10.35" customHeight="1">
      <c r="A19" s="23" t="s">
        <v>25</v>
      </c>
      <c r="B19" s="8"/>
      <c r="C19" s="31">
        <v>5425</v>
      </c>
      <c r="D19" s="31"/>
      <c r="E19" s="31">
        <v>1937</v>
      </c>
      <c r="F19" s="31"/>
      <c r="G19" s="31">
        <v>45601</v>
      </c>
      <c r="H19" s="31"/>
      <c r="I19" s="31">
        <v>8896</v>
      </c>
      <c r="J19" s="31"/>
      <c r="K19" s="31">
        <v>9920</v>
      </c>
      <c r="L19" s="31"/>
      <c r="M19" s="31">
        <v>9309</v>
      </c>
      <c r="N19" s="31"/>
      <c r="O19" s="31">
        <v>116</v>
      </c>
      <c r="P19" s="31"/>
      <c r="Q19" s="31">
        <v>175</v>
      </c>
      <c r="R19" s="31"/>
      <c r="S19" s="31">
        <v>4344</v>
      </c>
      <c r="T19" s="31"/>
      <c r="U19" s="31">
        <v>474</v>
      </c>
      <c r="V19" s="31"/>
    </row>
    <row r="20" spans="1:22" s="1" customFormat="1" ht="10.35" customHeight="1">
      <c r="A20" s="23" t="s">
        <v>26</v>
      </c>
      <c r="B20" s="8"/>
      <c r="C20" s="31">
        <v>5926</v>
      </c>
      <c r="D20" s="31"/>
      <c r="E20" s="31">
        <v>1754</v>
      </c>
      <c r="F20" s="31"/>
      <c r="G20" s="31">
        <v>51265</v>
      </c>
      <c r="H20" s="31"/>
      <c r="I20" s="31">
        <v>9666</v>
      </c>
      <c r="J20" s="31"/>
      <c r="K20" s="31">
        <v>11176</v>
      </c>
      <c r="L20" s="31"/>
      <c r="M20" s="31">
        <v>10236</v>
      </c>
      <c r="N20" s="31"/>
      <c r="O20" s="31">
        <v>137</v>
      </c>
      <c r="P20" s="31"/>
      <c r="Q20" s="31">
        <v>192</v>
      </c>
      <c r="R20" s="31"/>
      <c r="S20" s="31">
        <v>5452</v>
      </c>
      <c r="T20" s="31"/>
      <c r="U20" s="31">
        <v>519</v>
      </c>
      <c r="V20" s="31"/>
    </row>
    <row r="21" spans="1:22" s="1" customFormat="1" ht="10.35" customHeight="1">
      <c r="A21" s="23" t="s">
        <v>27</v>
      </c>
      <c r="B21" s="8"/>
      <c r="C21" s="31">
        <v>6716.81</v>
      </c>
      <c r="D21" s="31"/>
      <c r="E21" s="31">
        <v>1864.74</v>
      </c>
      <c r="F21" s="31"/>
      <c r="G21" s="31">
        <v>52942.73</v>
      </c>
      <c r="H21" s="31"/>
      <c r="I21" s="31">
        <v>11004.69</v>
      </c>
      <c r="J21" s="31"/>
      <c r="K21" s="31">
        <v>12914.17</v>
      </c>
      <c r="L21" s="31"/>
      <c r="M21" s="31">
        <v>11776</v>
      </c>
      <c r="N21" s="31"/>
      <c r="O21" s="31">
        <v>139.31</v>
      </c>
      <c r="P21" s="31"/>
      <c r="Q21" s="31">
        <v>205.71</v>
      </c>
      <c r="R21" s="31"/>
      <c r="S21" s="31">
        <v>6013</v>
      </c>
      <c r="T21" s="31"/>
      <c r="U21" s="31">
        <v>581.42999999999995</v>
      </c>
      <c r="V21" s="31"/>
    </row>
    <row r="22" spans="1:22" s="1" customFormat="1" ht="10.35" customHeight="1">
      <c r="A22" s="23" t="s">
        <v>28</v>
      </c>
      <c r="B22" s="8"/>
      <c r="C22" s="31">
        <v>7616.75</v>
      </c>
      <c r="D22" s="31"/>
      <c r="E22" s="31">
        <v>2151.25</v>
      </c>
      <c r="F22" s="31"/>
      <c r="G22" s="31">
        <v>56032.09</v>
      </c>
      <c r="H22" s="31"/>
      <c r="I22" s="31">
        <v>12103.43</v>
      </c>
      <c r="J22" s="31"/>
      <c r="K22" s="31">
        <v>13759.92</v>
      </c>
      <c r="L22" s="31"/>
      <c r="M22" s="31">
        <v>13540</v>
      </c>
      <c r="N22" s="31"/>
      <c r="O22" s="31">
        <v>157.22</v>
      </c>
      <c r="P22" s="31"/>
      <c r="Q22" s="31">
        <v>242.82</v>
      </c>
      <c r="R22" s="31"/>
      <c r="S22" s="31">
        <v>6748.91</v>
      </c>
      <c r="T22" s="31"/>
      <c r="U22" s="31">
        <v>668.45</v>
      </c>
      <c r="V22" s="31"/>
    </row>
    <row r="23" spans="1:22" s="1" customFormat="1" ht="10.35" customHeight="1">
      <c r="A23" s="23" t="s">
        <v>29</v>
      </c>
      <c r="B23" s="8"/>
      <c r="C23" s="31">
        <v>7759</v>
      </c>
      <c r="D23" s="31"/>
      <c r="E23" s="31">
        <v>2152</v>
      </c>
      <c r="F23" s="31"/>
      <c r="G23" s="31">
        <v>43083</v>
      </c>
      <c r="H23" s="31"/>
      <c r="I23" s="31">
        <v>11187</v>
      </c>
      <c r="J23" s="31"/>
      <c r="K23" s="31">
        <v>15037</v>
      </c>
      <c r="L23" s="31"/>
      <c r="M23" s="31">
        <v>14630</v>
      </c>
      <c r="N23" s="31"/>
      <c r="O23" s="31">
        <v>169</v>
      </c>
      <c r="P23" s="31"/>
      <c r="Q23" s="31">
        <v>260</v>
      </c>
      <c r="R23" s="31"/>
      <c r="S23" s="31">
        <v>6944</v>
      </c>
      <c r="T23" s="31"/>
      <c r="U23" s="31">
        <v>763</v>
      </c>
      <c r="V23" s="31"/>
    </row>
    <row r="24" spans="1:22" s="1" customFormat="1" ht="10.35" customHeight="1">
      <c r="A24" s="23" t="s">
        <v>30</v>
      </c>
      <c r="B24" s="8"/>
      <c r="C24" s="31">
        <v>8168</v>
      </c>
      <c r="D24" s="31"/>
      <c r="E24" s="31">
        <v>2225</v>
      </c>
      <c r="F24" s="31"/>
      <c r="G24" s="31">
        <v>60901</v>
      </c>
      <c r="H24" s="31"/>
      <c r="I24" s="31"/>
      <c r="J24" s="31"/>
      <c r="K24" s="31"/>
      <c r="L24" s="31"/>
      <c r="M24" s="31">
        <v>15467</v>
      </c>
      <c r="N24" s="31"/>
      <c r="O24" s="31">
        <v>190</v>
      </c>
      <c r="P24" s="31"/>
      <c r="Q24" s="31">
        <v>304</v>
      </c>
      <c r="R24" s="31"/>
      <c r="S24" s="31">
        <v>6659</v>
      </c>
      <c r="T24" s="31"/>
      <c r="U24" s="31">
        <v>826</v>
      </c>
      <c r="V24" s="31"/>
    </row>
    <row r="25" spans="1:22" s="1" customFormat="1" ht="10.35" customHeight="1">
      <c r="A25" s="23" t="s">
        <v>31</v>
      </c>
      <c r="B25" s="8"/>
      <c r="C25" s="31">
        <v>8332</v>
      </c>
      <c r="D25" s="31"/>
      <c r="E25" s="31">
        <v>2180</v>
      </c>
      <c r="F25" s="31"/>
      <c r="G25" s="31">
        <v>53983</v>
      </c>
      <c r="H25" s="31"/>
      <c r="I25" s="31"/>
      <c r="J25" s="31"/>
      <c r="K25" s="31"/>
      <c r="L25" s="31"/>
      <c r="M25" s="31">
        <v>16209</v>
      </c>
      <c r="N25" s="31"/>
      <c r="O25" s="31">
        <v>203</v>
      </c>
      <c r="P25" s="31"/>
      <c r="Q25" s="31">
        <v>320</v>
      </c>
      <c r="R25" s="31"/>
      <c r="S25" s="31">
        <v>6742</v>
      </c>
      <c r="T25" s="31"/>
      <c r="U25" s="31">
        <v>880</v>
      </c>
      <c r="V25" s="31"/>
    </row>
    <row r="26" spans="1:22" s="1" customFormat="1" ht="10.35" customHeight="1">
      <c r="A26" s="23">
        <v>1995</v>
      </c>
      <c r="B26" s="8"/>
      <c r="C26" s="31">
        <v>8868</v>
      </c>
      <c r="D26" s="31"/>
      <c r="E26" s="31">
        <v>2397</v>
      </c>
      <c r="F26" s="31"/>
      <c r="G26" s="31">
        <v>51657</v>
      </c>
      <c r="H26" s="31"/>
      <c r="I26" s="31"/>
      <c r="J26" s="31"/>
      <c r="K26" s="31"/>
      <c r="L26" s="31"/>
      <c r="M26" s="31">
        <v>17183</v>
      </c>
      <c r="N26" s="31"/>
      <c r="O26" s="31">
        <v>224</v>
      </c>
      <c r="P26" s="31"/>
      <c r="Q26" s="31">
        <v>343</v>
      </c>
      <c r="R26" s="31"/>
      <c r="S26" s="31">
        <v>6220</v>
      </c>
      <c r="T26" s="31"/>
      <c r="U26" s="31">
        <v>960</v>
      </c>
      <c r="V26" s="31"/>
    </row>
    <row r="27" spans="1:22" s="1" customFormat="1" ht="10.35" customHeight="1">
      <c r="A27" s="23">
        <v>1996</v>
      </c>
      <c r="B27" s="8"/>
      <c r="C27" s="31">
        <v>8622</v>
      </c>
      <c r="D27" s="31"/>
      <c r="E27" s="31">
        <v>2303</v>
      </c>
      <c r="F27" s="31"/>
      <c r="G27" s="31">
        <v>56902</v>
      </c>
      <c r="H27" s="31"/>
      <c r="I27" s="31"/>
      <c r="J27" s="31"/>
      <c r="K27" s="31"/>
      <c r="L27" s="31"/>
      <c r="M27" s="31">
        <v>18377</v>
      </c>
      <c r="N27" s="31"/>
      <c r="O27" s="31">
        <v>245</v>
      </c>
      <c r="P27" s="31"/>
      <c r="Q27" s="31">
        <v>376</v>
      </c>
      <c r="R27" s="31"/>
      <c r="S27" s="31">
        <v>6631</v>
      </c>
      <c r="T27" s="31"/>
      <c r="U27" s="31">
        <v>1037</v>
      </c>
      <c r="V27" s="31"/>
    </row>
    <row r="28" spans="1:22" s="1" customFormat="1" ht="10.35" customHeight="1">
      <c r="A28" s="23">
        <v>1997</v>
      </c>
      <c r="B28" s="8"/>
      <c r="C28" s="31">
        <v>9540</v>
      </c>
      <c r="D28" s="31"/>
      <c r="E28" s="31">
        <v>2444</v>
      </c>
      <c r="F28" s="31"/>
      <c r="G28" s="31">
        <v>63949</v>
      </c>
      <c r="H28" s="31"/>
      <c r="I28" s="31"/>
      <c r="J28" s="31"/>
      <c r="K28" s="31"/>
      <c r="L28" s="31"/>
      <c r="M28" s="31">
        <v>19022</v>
      </c>
      <c r="N28" s="31"/>
      <c r="O28" s="31">
        <v>279</v>
      </c>
      <c r="P28" s="31"/>
      <c r="Q28" s="31">
        <v>411</v>
      </c>
      <c r="R28" s="31"/>
      <c r="S28" s="31">
        <v>6323</v>
      </c>
      <c r="T28" s="31"/>
      <c r="U28" s="31">
        <v>1174</v>
      </c>
      <c r="V28" s="31"/>
    </row>
    <row r="29" spans="1:22" s="1" customFormat="1" ht="10.35" customHeight="1">
      <c r="A29" s="23">
        <v>1998</v>
      </c>
      <c r="B29" s="8"/>
      <c r="C29" s="31">
        <f>40601408616/3963664</f>
        <v>10243.403228931615</v>
      </c>
      <c r="D29" s="31"/>
      <c r="E29" s="31">
        <f>1870803998/735475</f>
        <v>2543.6676950270235</v>
      </c>
      <c r="F29" s="31"/>
      <c r="G29" s="31">
        <f>691690558/8504</f>
        <v>81337.083490122299</v>
      </c>
      <c r="H29" s="31"/>
      <c r="I29" s="31"/>
      <c r="J29" s="31"/>
      <c r="K29" s="31"/>
      <c r="L29" s="31"/>
      <c r="M29" s="31">
        <f>25529294210/1299951</f>
        <v>19638.658849448941</v>
      </c>
      <c r="N29" s="31"/>
      <c r="O29" s="31">
        <f>695044282/2578566</f>
        <v>269.54682641437142</v>
      </c>
      <c r="P29" s="31"/>
      <c r="Q29" s="31">
        <f>585248874/1343823</f>
        <v>435.5103864124963</v>
      </c>
      <c r="R29" s="31"/>
      <c r="S29" s="31">
        <f>797547610/362767</f>
        <v>2198.5120201120831</v>
      </c>
      <c r="T29" s="31"/>
      <c r="U29" s="31">
        <f>3805827005/2834302</f>
        <v>1342.7739898571147</v>
      </c>
      <c r="V29" s="31"/>
    </row>
    <row r="30" spans="1:22" s="1" customFormat="1" ht="10.35" customHeight="1">
      <c r="A30" s="23">
        <v>1999</v>
      </c>
      <c r="B30" s="8"/>
      <c r="C30" s="31">
        <f>42521620708/3773532</f>
        <v>11268.387470412335</v>
      </c>
      <c r="D30" s="31"/>
      <c r="E30" s="31">
        <f>1655159398/694048</f>
        <v>2384.7909625847205</v>
      </c>
      <c r="F30" s="31"/>
      <c r="G30" s="31">
        <f>742192636/9106</f>
        <v>81505.890182297386</v>
      </c>
      <c r="H30" s="31"/>
      <c r="I30" s="31"/>
      <c r="J30" s="31"/>
      <c r="K30" s="31"/>
      <c r="L30" s="31"/>
      <c r="M30" s="31">
        <f>26578145314/1209942</f>
        <v>21966.462288274975</v>
      </c>
      <c r="N30" s="31"/>
      <c r="O30" s="31">
        <f>634510780/2444455</f>
        <v>259.57147094137548</v>
      </c>
      <c r="P30" s="31"/>
      <c r="Q30" s="31">
        <f>585468507/1285530</f>
        <v>455.42967258640402</v>
      </c>
      <c r="R30" s="31"/>
      <c r="S30" s="31">
        <f>667381646/198670</f>
        <v>3359.2472240398652</v>
      </c>
      <c r="T30" s="31"/>
      <c r="U30" s="31">
        <f>4572050588/2906598</f>
        <v>1572.9903440379439</v>
      </c>
      <c r="V30" s="31"/>
    </row>
    <row r="31" spans="1:22" s="1" customFormat="1" ht="10.35" customHeight="1">
      <c r="A31" s="23">
        <v>2000</v>
      </c>
      <c r="B31" s="8"/>
      <c r="C31" s="31">
        <f>44503184188/3730827</f>
        <v>11928.503837889026</v>
      </c>
      <c r="D31" s="31"/>
      <c r="E31" s="31">
        <f>1630267203/707761</f>
        <v>2303.4148575578479</v>
      </c>
      <c r="F31" s="31"/>
      <c r="G31" s="31">
        <f>707959452/8504</f>
        <v>83250.170743179682</v>
      </c>
      <c r="H31" s="31"/>
      <c r="I31" s="31"/>
      <c r="J31" s="31"/>
      <c r="K31" s="31"/>
      <c r="L31" s="31"/>
      <c r="M31" s="31">
        <f>27058253010/1203831</f>
        <v>22476.787032399065</v>
      </c>
      <c r="N31" s="31"/>
      <c r="O31" s="31">
        <f>632624037/2363637</f>
        <v>267.64855897923411</v>
      </c>
      <c r="P31" s="31"/>
      <c r="Q31" s="31">
        <f>667349187/1324460</f>
        <v>503.86511257418118</v>
      </c>
      <c r="R31" s="31"/>
      <c r="S31" s="31">
        <f>718410987/228780</f>
        <v>3140.1826514555469</v>
      </c>
      <c r="T31" s="31"/>
      <c r="U31" s="31">
        <f>5354543487/2889753</f>
        <v>1852.9415790899775</v>
      </c>
      <c r="V31" s="31"/>
    </row>
    <row r="32" spans="1:22" s="1" customFormat="1" ht="10.35" customHeight="1">
      <c r="A32" s="23">
        <v>2001</v>
      </c>
      <c r="B32" s="8"/>
      <c r="C32" s="31">
        <f>48356432218/3810378</f>
        <v>12690.717881008131</v>
      </c>
      <c r="D32" s="31"/>
      <c r="E32" s="31">
        <f>1739186910/703417</f>
        <v>2472.4834770840057</v>
      </c>
      <c r="F32" s="31"/>
      <c r="G32" s="31">
        <f>716666236/8268</f>
        <v>86679.515723270437</v>
      </c>
      <c r="H32" s="31"/>
      <c r="I32" s="31"/>
      <c r="J32" s="31"/>
      <c r="K32" s="31"/>
      <c r="L32" s="31"/>
      <c r="M32" s="31">
        <f>29104479610/1195941</f>
        <v>24336.049696431513</v>
      </c>
      <c r="N32" s="31"/>
      <c r="O32" s="31">
        <f>611742494/2369392</f>
        <v>258.18543069276842</v>
      </c>
      <c r="P32" s="31"/>
      <c r="Q32" s="31">
        <f>583515142/1303369</f>
        <v>447.69757605098789</v>
      </c>
      <c r="R32" s="31"/>
      <c r="S32" s="31">
        <f>819711401/235457</f>
        <v>3481.3634803807063</v>
      </c>
      <c r="T32" s="31"/>
      <c r="U32" s="31">
        <f>6226527442/2996693</f>
        <v>2077.7995750649134</v>
      </c>
      <c r="V32" s="31"/>
    </row>
    <row r="33" spans="1:22" s="1" customFormat="1" ht="10.35" customHeight="1">
      <c r="A33" s="23">
        <v>2002</v>
      </c>
      <c r="B33" s="8"/>
      <c r="C33" s="31">
        <f>51923752294/3886706</f>
        <v>13359.320796067415</v>
      </c>
      <c r="D33" s="31"/>
      <c r="E33" s="31">
        <f>1946405483/720940</f>
        <v>2699.8161885871223</v>
      </c>
      <c r="F33" s="31"/>
      <c r="G33" s="31">
        <f>737624910/7813</f>
        <v>94409.946243440427</v>
      </c>
      <c r="H33" s="31"/>
      <c r="I33" s="31"/>
      <c r="J33" s="31"/>
      <c r="K33" s="31"/>
      <c r="L33" s="31"/>
      <c r="M33" s="31">
        <f>30096762623/1174019</f>
        <v>25635.669118642883</v>
      </c>
      <c r="N33" s="31"/>
      <c r="O33" s="31">
        <f>570560656/2186928</f>
        <v>260.89594902072679</v>
      </c>
      <c r="P33" s="31"/>
      <c r="Q33" s="31">
        <f>569965148/1264499</f>
        <v>450.74385033123792</v>
      </c>
      <c r="R33" s="31"/>
      <c r="S33" s="31">
        <f>997172286/249814</f>
        <v>3991.6589382500579</v>
      </c>
      <c r="T33" s="31"/>
      <c r="U33" s="31">
        <f>7150365001/3146907</f>
        <v>2272.188215603448</v>
      </c>
      <c r="V33" s="31"/>
    </row>
    <row r="34" spans="1:22" s="1" customFormat="1" ht="10.35" customHeight="1">
      <c r="A34" s="23">
        <v>2003</v>
      </c>
      <c r="B34" s="8"/>
      <c r="C34" s="31">
        <f>55270538896/4040998</f>
        <v>13677.447723557398</v>
      </c>
      <c r="D34" s="31"/>
      <c r="E34" s="31">
        <f>2040471152/697416</f>
        <v>2925.759019007307</v>
      </c>
      <c r="F34" s="31"/>
      <c r="G34" s="31">
        <f>753440128/7734</f>
        <v>97419.204551331786</v>
      </c>
      <c r="H34" s="31"/>
      <c r="I34" s="31"/>
      <c r="J34" s="31"/>
      <c r="K34" s="31"/>
      <c r="L34" s="31"/>
      <c r="M34" s="31">
        <f>30947061786/1157461</f>
        <v>26737.023351974709</v>
      </c>
      <c r="N34" s="31"/>
      <c r="O34" s="31">
        <f>567014960/2210447</f>
        <v>256.51597165641158</v>
      </c>
      <c r="P34" s="31"/>
      <c r="Q34" s="31">
        <f>553508254/1235012</f>
        <v>448.18046626267596</v>
      </c>
      <c r="R34" s="31"/>
      <c r="S34" s="31">
        <f>990749120/264498</f>
        <v>3745.7716882547315</v>
      </c>
      <c r="T34" s="31"/>
      <c r="U34" s="31">
        <f>8283661952/3294401</f>
        <v>2514.4668035251325</v>
      </c>
      <c r="V34" s="31"/>
    </row>
    <row r="35" spans="1:22" s="1" customFormat="1" ht="10.35" customHeight="1">
      <c r="A35" s="23">
        <v>2004</v>
      </c>
      <c r="B35" s="8"/>
      <c r="C35" s="31">
        <f>59541456809/4317804</f>
        <v>13789.754423544931</v>
      </c>
      <c r="D35" s="31"/>
      <c r="E35" s="31">
        <f>2087428474/710718</f>
        <v>2937.0699405390042</v>
      </c>
      <c r="F35" s="31"/>
      <c r="G35" s="31">
        <f>734467197/7207</f>
        <v>101910.25350353823</v>
      </c>
      <c r="H35" s="31"/>
      <c r="I35" s="31"/>
      <c r="J35" s="31"/>
      <c r="K35" s="31"/>
      <c r="L35" s="31"/>
      <c r="M35" s="31">
        <f>32140453338/1162421</f>
        <v>27649.580778392683</v>
      </c>
      <c r="N35" s="31"/>
      <c r="O35" s="31">
        <f>569699920/2249243</f>
        <v>253.28518083639696</v>
      </c>
      <c r="P35" s="31"/>
      <c r="Q35" s="31">
        <f>623612365/1238439</f>
        <v>503.54709840371629</v>
      </c>
      <c r="R35" s="31"/>
      <c r="S35" s="31">
        <f>1057975038/258139</f>
        <v>4098.4703512448723</v>
      </c>
      <c r="T35" s="31"/>
      <c r="U35" s="31">
        <f>9703257490/3547823</f>
        <v>2734.9891722332259</v>
      </c>
      <c r="V35" s="31"/>
    </row>
    <row r="36" spans="1:22" s="1" customFormat="1" ht="10.35" customHeight="1">
      <c r="A36" s="23">
        <v>2005</v>
      </c>
      <c r="B36" s="8"/>
      <c r="C36" s="31">
        <f>62929039209/4369608</f>
        <v>14401.529658724536</v>
      </c>
      <c r="D36" s="31"/>
      <c r="E36" s="31">
        <f>1751057225/686079</f>
        <v>2552.2676324446602</v>
      </c>
      <c r="F36" s="31"/>
      <c r="G36" s="31">
        <f>794853228/7207</f>
        <v>110289.05619536561</v>
      </c>
      <c r="H36" s="31"/>
      <c r="I36" s="31"/>
      <c r="J36" s="31"/>
      <c r="K36" s="31"/>
      <c r="L36" s="31"/>
      <c r="M36" s="31">
        <f>33778000145/1143382</f>
        <v>29542.182879387641</v>
      </c>
      <c r="N36" s="31"/>
      <c r="O36" s="31">
        <f>610970799/2224067</f>
        <v>274.70881003135247</v>
      </c>
      <c r="P36" s="31"/>
      <c r="Q36" s="31">
        <f>577788187/1297332</f>
        <v>445.3664805924775</v>
      </c>
      <c r="R36" s="31"/>
      <c r="S36" s="31">
        <f>1215541714/274766</f>
        <v>4423.9160376465788</v>
      </c>
      <c r="T36" s="31"/>
      <c r="U36" s="31">
        <f>10576409421/3592590</f>
        <v>2943.9511385936053</v>
      </c>
      <c r="V36" s="31"/>
    </row>
    <row r="37" spans="1:22" s="1" customFormat="1" ht="10.35" customHeight="1">
      <c r="A37" s="23">
        <v>2006</v>
      </c>
      <c r="B37" s="8"/>
      <c r="C37" s="31">
        <f>57456964053/4330338</f>
        <v>13268.470972242814</v>
      </c>
      <c r="D37" s="31"/>
      <c r="E37" s="31">
        <f>1762031257/651900</f>
        <v>2702.9164856573093</v>
      </c>
      <c r="F37" s="31"/>
      <c r="G37" s="31">
        <f>823966125/7439</f>
        <v>110763.02258368061</v>
      </c>
      <c r="H37" s="31"/>
      <c r="I37" s="31"/>
      <c r="J37" s="31"/>
      <c r="K37" s="31"/>
      <c r="L37" s="31"/>
      <c r="M37" s="31">
        <f>34283601103/1117871</f>
        <v>30668.655956724881</v>
      </c>
      <c r="N37" s="31"/>
      <c r="O37" s="31">
        <f>584663006/2247988</f>
        <v>260.0827967053205</v>
      </c>
      <c r="P37" s="31"/>
      <c r="Q37" s="31">
        <f>556548438/1315856</f>
        <v>422.9554282535475</v>
      </c>
      <c r="R37" s="31"/>
      <c r="S37" s="31">
        <f>1433554261/271927</f>
        <v>5271.8349446726515</v>
      </c>
      <c r="T37" s="31"/>
      <c r="U37" s="31">
        <f>3974980607/3382215</f>
        <v>1175.2595878736272</v>
      </c>
      <c r="V37" s="31"/>
    </row>
    <row r="38" spans="1:22" s="1" customFormat="1" ht="10.35" customHeight="1">
      <c r="A38" s="23">
        <v>2007</v>
      </c>
      <c r="B38" s="8"/>
      <c r="C38" s="31">
        <f>57179292164/4043618</f>
        <v>14140.626578475019</v>
      </c>
      <c r="D38" s="31"/>
      <c r="E38" s="31">
        <f>1798878530/605332</f>
        <v>2971.7221789034779</v>
      </c>
      <c r="F38" s="31"/>
      <c r="G38" s="31">
        <f>851046535/7362</f>
        <v>115599.90967128497</v>
      </c>
      <c r="H38" s="31"/>
      <c r="I38" s="31"/>
      <c r="J38" s="31"/>
      <c r="K38" s="31"/>
      <c r="L38" s="31"/>
      <c r="M38" s="31">
        <f>34980238797/1101012</f>
        <v>31770.987779424748</v>
      </c>
      <c r="N38" s="31"/>
      <c r="O38" s="31">
        <f>605867736/2210275</f>
        <v>274.11418760109035</v>
      </c>
      <c r="P38" s="31"/>
      <c r="Q38" s="31">
        <f>624543693/1282102</f>
        <v>487.12480988252105</v>
      </c>
      <c r="R38" s="31"/>
      <c r="S38" s="31">
        <f>1580925968/265349</f>
        <v>5957.9119122363381</v>
      </c>
      <c r="T38" s="31"/>
      <c r="U38" s="31">
        <f>853084261/1930118</f>
        <v>441.98554751574773</v>
      </c>
      <c r="V38" s="31"/>
    </row>
    <row r="39" spans="1:22" s="1" customFormat="1" ht="10.35" customHeight="1">
      <c r="A39" s="23">
        <v>2008</v>
      </c>
      <c r="B39" s="8"/>
      <c r="C39" s="31">
        <f>61130792854/4146833</f>
        <v>14741.561296054122</v>
      </c>
      <c r="D39" s="31"/>
      <c r="E39" s="31">
        <f>1897827782/601128</f>
        <v>3157.1109347759543</v>
      </c>
      <c r="F39" s="31"/>
      <c r="G39" s="31">
        <f>931244334/7556</f>
        <v>123245.67681312864</v>
      </c>
      <c r="H39" s="31"/>
      <c r="I39" s="31"/>
      <c r="J39" s="31"/>
      <c r="K39" s="31"/>
      <c r="L39" s="31"/>
      <c r="M39" s="31">
        <f>35744236691/1079976</f>
        <v>33097.250949095163</v>
      </c>
      <c r="N39" s="31"/>
      <c r="O39" s="31">
        <f>637885843/2258023</f>
        <v>282.49749581824454</v>
      </c>
      <c r="P39" s="31"/>
      <c r="Q39" s="31">
        <f>765340774/1279643</f>
        <v>598.08929052868655</v>
      </c>
      <c r="R39" s="31"/>
      <c r="S39" s="31">
        <f>1677470142/268016</f>
        <v>6258.8432854754938</v>
      </c>
      <c r="T39" s="31"/>
      <c r="U39" s="31">
        <f>813998491/1884235</f>
        <v>432.00476108341053</v>
      </c>
      <c r="V39" s="31"/>
    </row>
    <row r="40" spans="1:22" s="1" customFormat="1" ht="10.5" customHeight="1">
      <c r="A40" s="23">
        <v>2009</v>
      </c>
      <c r="B40" s="8"/>
      <c r="C40" s="31">
        <f>64331858656/4194604</f>
        <v>15336.813357351493</v>
      </c>
      <c r="D40" s="31"/>
      <c r="E40" s="31">
        <f>2010636410/601734</f>
        <v>3341.4040256990629</v>
      </c>
      <c r="F40" s="31"/>
      <c r="G40" s="31">
        <f>1049713332/7668</f>
        <v>136895.32237871675</v>
      </c>
      <c r="H40" s="31"/>
      <c r="I40" s="31"/>
      <c r="J40" s="31"/>
      <c r="K40" s="31"/>
      <c r="L40" s="31"/>
      <c r="M40" s="31">
        <f>36065866906/1054647</f>
        <v>34197.098086848018</v>
      </c>
      <c r="N40" s="31"/>
      <c r="O40" s="31">
        <f>707298264/2366014</f>
        <v>298.94086171933048</v>
      </c>
      <c r="P40" s="31"/>
      <c r="Q40" s="31">
        <f>760714753/1287339</f>
        <v>590.92030382051655</v>
      </c>
      <c r="R40" s="31"/>
      <c r="S40" s="31">
        <f>1884995803/267578</f>
        <v>7044.6591386436849</v>
      </c>
      <c r="T40" s="31"/>
      <c r="U40" s="31">
        <f>861676343/1945244</f>
        <v>442.96568605275223</v>
      </c>
      <c r="V40" s="31"/>
    </row>
    <row r="41" spans="1:22" s="1" customFormat="1" ht="11.25">
      <c r="A41" s="7" t="s">
        <v>32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s="1" customFormat="1" ht="11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pans="1:22" s="1" customFormat="1" ht="11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</row>
    <row r="44" spans="1:22" s="1" customFormat="1" ht="11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</row>
    <row r="45" spans="1:22" s="1" customFormat="1" ht="11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</row>
    <row r="46" spans="1:22" s="2" customFormat="1" ht="15" customHeight="1">
      <c r="A46" s="45" t="s">
        <v>58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</row>
    <row r="47" spans="1:22" s="6" customFormat="1" ht="15" customHeight="1">
      <c r="A47" s="48" t="s">
        <v>35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</row>
    <row r="48" spans="1:22" s="3" customFormat="1" ht="15" customHeight="1">
      <c r="A48" s="47" t="s">
        <v>66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</row>
    <row r="49" spans="1:22" s="1" customFormat="1" ht="10.5" customHeight="1">
      <c r="A49" s="19"/>
      <c r="B49" s="20"/>
      <c r="C49" s="20"/>
      <c r="D49" s="20"/>
      <c r="E49" s="21" t="s">
        <v>1</v>
      </c>
      <c r="F49" s="20"/>
      <c r="G49" s="20"/>
      <c r="H49" s="20"/>
      <c r="I49" s="20"/>
      <c r="J49" s="20"/>
      <c r="K49" s="21" t="s">
        <v>2</v>
      </c>
      <c r="L49" s="20"/>
      <c r="M49" s="22" t="s">
        <v>33</v>
      </c>
      <c r="N49" s="20"/>
      <c r="O49" s="20"/>
      <c r="P49" s="20"/>
      <c r="Q49" s="21" t="s">
        <v>3</v>
      </c>
      <c r="R49" s="20"/>
      <c r="S49" s="21" t="s">
        <v>57</v>
      </c>
      <c r="T49" s="20"/>
      <c r="U49" s="21" t="s">
        <v>4</v>
      </c>
      <c r="V49" s="20"/>
    </row>
    <row r="50" spans="1:22" s="1" customFormat="1" ht="15" customHeight="1">
      <c r="A50" s="23" t="s">
        <v>5</v>
      </c>
      <c r="B50" s="8"/>
      <c r="C50" s="32" t="s">
        <v>48</v>
      </c>
      <c r="D50" s="26"/>
      <c r="E50" s="32" t="s">
        <v>6</v>
      </c>
      <c r="F50" s="26"/>
      <c r="G50" s="32" t="s">
        <v>7</v>
      </c>
      <c r="H50" s="26"/>
      <c r="I50" s="32" t="s">
        <v>8</v>
      </c>
      <c r="J50" s="26"/>
      <c r="K50" s="32" t="s">
        <v>9</v>
      </c>
      <c r="L50" s="26"/>
      <c r="M50" s="32" t="s">
        <v>49</v>
      </c>
      <c r="N50" s="26"/>
      <c r="O50" s="32" t="s">
        <v>10</v>
      </c>
      <c r="P50" s="26"/>
      <c r="Q50" s="32" t="s">
        <v>6</v>
      </c>
      <c r="R50" s="26"/>
      <c r="S50" s="25" t="s">
        <v>56</v>
      </c>
      <c r="T50" s="26"/>
      <c r="U50" s="32" t="s">
        <v>11</v>
      </c>
      <c r="V50" s="26"/>
    </row>
    <row r="51" spans="1:22" s="1" customFormat="1" ht="10.35" customHeight="1">
      <c r="A51" s="28"/>
      <c r="B51" s="28"/>
      <c r="C51" s="46" t="s">
        <v>67</v>
      </c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</row>
    <row r="52" spans="1:22" s="1" customFormat="1" ht="10.15" customHeight="1">
      <c r="A52" s="23" t="s">
        <v>12</v>
      </c>
      <c r="B52" s="8"/>
      <c r="C52" s="34">
        <f>C6/0.13952</f>
        <v>8636.7545871559632</v>
      </c>
      <c r="D52" s="34"/>
      <c r="E52" s="34">
        <f>E6/0.13952</f>
        <v>1942.3738532110092</v>
      </c>
      <c r="F52" s="34"/>
      <c r="G52" s="34">
        <f>G6/0.13952</f>
        <v>49634.461009174309</v>
      </c>
      <c r="H52" s="34"/>
      <c r="I52" s="34">
        <f>I6/0.245071</f>
        <v>11274.283778986497</v>
      </c>
      <c r="J52" s="34">
        <f>J6/0.245071</f>
        <v>0</v>
      </c>
      <c r="K52" s="34">
        <f>K6/0.245071</f>
        <v>15318.009882850276</v>
      </c>
      <c r="L52" s="34">
        <f>L6/0.245071</f>
        <v>0</v>
      </c>
      <c r="M52" s="34">
        <f>M6/0.13952</f>
        <v>23294.151376146787</v>
      </c>
      <c r="N52" s="34"/>
      <c r="O52" s="34">
        <f>O6/0.13952</f>
        <v>422.87844036697248</v>
      </c>
      <c r="P52" s="34"/>
      <c r="Q52" s="34">
        <f>Q6/0.13952</f>
        <v>250.86009174311926</v>
      </c>
      <c r="R52" s="34"/>
      <c r="S52" s="34">
        <f>S6/0.13952</f>
        <v>1705.8486238532109</v>
      </c>
      <c r="T52" s="34"/>
      <c r="U52" s="34">
        <f>U6/0.13952</f>
        <v>795.58486238532112</v>
      </c>
      <c r="V52" s="8"/>
    </row>
    <row r="53" spans="1:22" s="1" customFormat="1" ht="10.15" customHeight="1">
      <c r="A53" s="23" t="s">
        <v>13</v>
      </c>
      <c r="B53" s="8"/>
      <c r="C53" s="35">
        <f>C7/0.15752</f>
        <v>8627.4758760792283</v>
      </c>
      <c r="D53" s="36"/>
      <c r="E53" s="35">
        <f>E7/0.15752</f>
        <v>1968.0040629761302</v>
      </c>
      <c r="F53" s="31"/>
      <c r="G53" s="35">
        <f>G7/0.15752</f>
        <v>56824.530218384971</v>
      </c>
      <c r="H53" s="31"/>
      <c r="I53" s="31">
        <f>I7/0.267557</f>
        <v>11156.501231513286</v>
      </c>
      <c r="J53" s="31">
        <f>J7/0.267557</f>
        <v>0</v>
      </c>
      <c r="K53" s="31">
        <f>K7/0.267557</f>
        <v>13836.304039886829</v>
      </c>
      <c r="L53" s="31">
        <f>L7/0.267557</f>
        <v>0</v>
      </c>
      <c r="M53" s="35">
        <f>M7/0.15752</f>
        <v>21127.475876079228</v>
      </c>
      <c r="N53" s="31"/>
      <c r="O53" s="35">
        <f>O7/0.15752</f>
        <v>412.64601320467244</v>
      </c>
      <c r="P53" s="31"/>
      <c r="Q53" s="35">
        <f>Q7/0.15752</f>
        <v>266.6328085322499</v>
      </c>
      <c r="R53" s="31"/>
      <c r="S53" s="35">
        <f>S7/0.15752</f>
        <v>3129.7613001523619</v>
      </c>
      <c r="T53" s="31"/>
      <c r="U53" s="35">
        <f>U7/0.15752</f>
        <v>850.68562722194008</v>
      </c>
      <c r="V53" s="8"/>
    </row>
    <row r="54" spans="1:22" s="1" customFormat="1" ht="10.15" customHeight="1">
      <c r="A54" s="23" t="s">
        <v>14</v>
      </c>
      <c r="B54" s="8"/>
      <c r="C54" s="35">
        <f>C8/0.17094</f>
        <v>8845.2088452088447</v>
      </c>
      <c r="D54" s="31"/>
      <c r="E54" s="35">
        <f>E8/0.17094</f>
        <v>2129.4021294021295</v>
      </c>
      <c r="F54" s="31"/>
      <c r="G54" s="35">
        <f>G8/0.17094</f>
        <v>43769.743769743771</v>
      </c>
      <c r="H54" s="31"/>
      <c r="I54" s="31">
        <f>I8/0.293164</f>
        <v>11676.05845192452</v>
      </c>
      <c r="J54" s="31">
        <f>J8/0.293164</f>
        <v>0</v>
      </c>
      <c r="K54" s="31">
        <f>K8/0.293164</f>
        <v>13531.675103355119</v>
      </c>
      <c r="L54" s="31">
        <f>L8/0.293164</f>
        <v>0</v>
      </c>
      <c r="M54" s="35">
        <f>M8/0.17094</f>
        <v>21522.17152217152</v>
      </c>
      <c r="N54" s="31"/>
      <c r="O54" s="35">
        <f>O8/0.17094</f>
        <v>415.35041535041535</v>
      </c>
      <c r="P54" s="31"/>
      <c r="Q54" s="35">
        <f>Q8/0.17094</f>
        <v>310.05031005031003</v>
      </c>
      <c r="R54" s="31"/>
      <c r="S54" s="35">
        <f>S8/0.17094</f>
        <v>3129.7531297531295</v>
      </c>
      <c r="T54" s="31"/>
      <c r="U54" s="35">
        <f>U8/0.17094</f>
        <v>842.40084240084241</v>
      </c>
      <c r="V54" s="8"/>
    </row>
    <row r="55" spans="1:22" s="1" customFormat="1" ht="10.15" customHeight="1">
      <c r="A55" s="23" t="s">
        <v>15</v>
      </c>
      <c r="B55" s="8"/>
      <c r="C55" s="35">
        <f>C9/0.18469</f>
        <v>10119.659970761817</v>
      </c>
      <c r="D55" s="31"/>
      <c r="E55" s="35">
        <f>E9/0.18469</f>
        <v>2414.8573284963995</v>
      </c>
      <c r="F55" s="31"/>
      <c r="G55" s="35">
        <f>G9/0.18469</f>
        <v>52520.43965563918</v>
      </c>
      <c r="H55" s="31"/>
      <c r="I55" s="31">
        <f>I9/0.3213</f>
        <v>12598.817304699658</v>
      </c>
      <c r="J55" s="31">
        <f>J9/0.3213</f>
        <v>0</v>
      </c>
      <c r="K55" s="31">
        <f>K9/0.3213</f>
        <v>14578.275754746344</v>
      </c>
      <c r="L55" s="31">
        <f>L9/0.3213</f>
        <v>0</v>
      </c>
      <c r="M55" s="35">
        <f>M9/0.18469</f>
        <v>23552.980670312416</v>
      </c>
      <c r="N55" s="31"/>
      <c r="O55" s="35">
        <f>O9/0.18469</f>
        <v>422.32930857111921</v>
      </c>
      <c r="P55" s="31"/>
      <c r="Q55" s="35">
        <f>Q9/0.18469</f>
        <v>259.89495912068872</v>
      </c>
      <c r="R55" s="31"/>
      <c r="S55" s="35">
        <f>S9/0.18469</f>
        <v>4336.9971303264929</v>
      </c>
      <c r="T55" s="31"/>
      <c r="U55" s="35">
        <f>U9/0.18469</f>
        <v>855.48757377226707</v>
      </c>
      <c r="V55" s="8"/>
    </row>
    <row r="56" spans="1:22" s="1" customFormat="1" ht="10.15" customHeight="1">
      <c r="A56" s="23" t="s">
        <v>16</v>
      </c>
      <c r="B56" s="8"/>
      <c r="C56" s="35">
        <f>C10/0.20256</f>
        <v>10337.677725118483</v>
      </c>
      <c r="D56" s="31"/>
      <c r="E56" s="35">
        <f>E10/0.20256</f>
        <v>2809.0442338072671</v>
      </c>
      <c r="F56" s="31"/>
      <c r="G56" s="35">
        <f>G10/0.20256</f>
        <v>48400.473933649293</v>
      </c>
      <c r="H56" s="31"/>
      <c r="I56" s="31">
        <f>I10/0.349451</f>
        <v>13452.529825354628</v>
      </c>
      <c r="J56" s="31">
        <f>J10/0.349451</f>
        <v>0</v>
      </c>
      <c r="K56" s="31">
        <f>K10/0.349451</f>
        <v>15192.401795959948</v>
      </c>
      <c r="L56" s="31">
        <f>L10/0.349451</f>
        <v>0</v>
      </c>
      <c r="M56" s="35">
        <f>M10/0.20256</f>
        <v>24545.813586097949</v>
      </c>
      <c r="N56" s="31"/>
      <c r="O56" s="35">
        <f>O10/0.20256</f>
        <v>409.75513428120064</v>
      </c>
      <c r="P56" s="31"/>
      <c r="Q56" s="35">
        <f>Q10/0.20256</f>
        <v>330.76619273301742</v>
      </c>
      <c r="R56" s="31"/>
      <c r="S56" s="35">
        <f>S10/0.20256</f>
        <v>6847.353870458136</v>
      </c>
      <c r="T56" s="31"/>
      <c r="U56" s="35">
        <f>U10/0.20256</f>
        <v>883.68878357030019</v>
      </c>
      <c r="V56" s="8"/>
    </row>
    <row r="57" spans="1:22" s="1" customFormat="1" ht="10.15" customHeight="1">
      <c r="A57" s="23" t="s">
        <v>17</v>
      </c>
      <c r="B57" s="8"/>
      <c r="C57" s="35">
        <f>C11/0.22548</f>
        <v>11264.857193542664</v>
      </c>
      <c r="D57" s="31"/>
      <c r="E57" s="35">
        <f>E11/0.22548</f>
        <v>4301.9336526521192</v>
      </c>
      <c r="F57" s="31"/>
      <c r="G57" s="35">
        <f>G11/0.22548</f>
        <v>72494.234521908817</v>
      </c>
      <c r="H57" s="31"/>
      <c r="I57" s="31">
        <f>I11/0.385079</f>
        <v>13851.703157014534</v>
      </c>
      <c r="J57" s="31">
        <f>J11/0.385079</f>
        <v>0</v>
      </c>
      <c r="K57" s="31">
        <f>K11/0.385079</f>
        <v>16271.985748378904</v>
      </c>
      <c r="L57" s="31">
        <f>L11/0.385079</f>
        <v>0</v>
      </c>
      <c r="M57" s="35">
        <f>M11/0.22548</f>
        <v>25465.673230441724</v>
      </c>
      <c r="N57" s="31"/>
      <c r="O57" s="35">
        <f>O11/0.22548</f>
        <v>447.9332978534681</v>
      </c>
      <c r="P57" s="31"/>
      <c r="Q57" s="35">
        <f>Q11/0.22548</f>
        <v>328.18875288273904</v>
      </c>
      <c r="R57" s="31"/>
      <c r="S57" s="35">
        <f>S11/0.22548</f>
        <v>8306.7234344509488</v>
      </c>
      <c r="T57" s="31"/>
      <c r="U57" s="35">
        <f>U11/0.22548</f>
        <v>878.12666311868009</v>
      </c>
      <c r="V57" s="8"/>
    </row>
    <row r="58" spans="1:22" s="1" customFormat="1" ht="10.15" customHeight="1">
      <c r="A58" s="23" t="s">
        <v>18</v>
      </c>
      <c r="B58" s="8"/>
      <c r="C58" s="35">
        <f>C12/0.25329</f>
        <v>11638.832958269177</v>
      </c>
      <c r="D58" s="31"/>
      <c r="E58" s="35">
        <f>E12/0.25329</f>
        <v>4402.068774922026</v>
      </c>
      <c r="F58" s="31"/>
      <c r="G58" s="35">
        <f>G12/0.25329</f>
        <v>75987.997947017255</v>
      </c>
      <c r="H58" s="31"/>
      <c r="I58" s="31">
        <f>I12/0.429902</f>
        <v>13265.814069252992</v>
      </c>
      <c r="J58" s="31">
        <f>J12/0.429902</f>
        <v>0</v>
      </c>
      <c r="K58" s="31">
        <f>K12/0.429902</f>
        <v>15540.751147936042</v>
      </c>
      <c r="L58" s="31">
        <f>L12/0.429902</f>
        <v>0</v>
      </c>
      <c r="M58" s="35">
        <f>M12/0.25329</f>
        <v>24229.144458920604</v>
      </c>
      <c r="N58" s="31"/>
      <c r="O58" s="35">
        <f>O12/0.25329</f>
        <v>465.86916183031303</v>
      </c>
      <c r="P58" s="31"/>
      <c r="Q58" s="35">
        <f>Q12/0.25329</f>
        <v>359.27198073354651</v>
      </c>
      <c r="R58" s="31"/>
      <c r="S58" s="35">
        <f>S12/0.25329</f>
        <v>10359.666785107978</v>
      </c>
      <c r="T58" s="31"/>
      <c r="U58" s="35">
        <f>U12/0.25329</f>
        <v>908.05006119467794</v>
      </c>
      <c r="V58" s="8"/>
    </row>
    <row r="59" spans="1:22" s="1" customFormat="1" ht="10.15" customHeight="1">
      <c r="A59" s="23" t="s">
        <v>19</v>
      </c>
      <c r="B59" s="8"/>
      <c r="C59" s="35">
        <f>C13/0.28334</f>
        <v>11699.72471235971</v>
      </c>
      <c r="D59" s="31"/>
      <c r="E59" s="35">
        <f>E13/0.28334</f>
        <v>4379.8969436013276</v>
      </c>
      <c r="F59" s="31"/>
      <c r="G59" s="35">
        <f>G13/0.28334</f>
        <v>40460.224465306703</v>
      </c>
      <c r="H59" s="31"/>
      <c r="I59" s="31">
        <f>I13/0.4277834</f>
        <v>14502.666536382665</v>
      </c>
      <c r="J59" s="31">
        <f>J13/0.4277834</f>
        <v>0</v>
      </c>
      <c r="K59" s="31">
        <f>K13/0.4277834</f>
        <v>18640.274494054702</v>
      </c>
      <c r="L59" s="31">
        <f>L13/0.4277834</f>
        <v>0</v>
      </c>
      <c r="M59" s="35">
        <f>M13/0.28334</f>
        <v>24511.187972047719</v>
      </c>
      <c r="N59" s="31"/>
      <c r="O59" s="35">
        <f>O13/0.28334</f>
        <v>405.87280299287079</v>
      </c>
      <c r="P59" s="31"/>
      <c r="Q59" s="35">
        <f>Q13/0.28334</f>
        <v>356.46220088939089</v>
      </c>
      <c r="R59" s="31"/>
      <c r="S59" s="35">
        <f>S13/0.28334</f>
        <v>10390.343756617493</v>
      </c>
      <c r="T59" s="31"/>
      <c r="U59" s="35">
        <f>U13/0.28334</f>
        <v>878.80285169760714</v>
      </c>
      <c r="V59" s="8"/>
    </row>
    <row r="60" spans="1:22" s="1" customFormat="1" ht="10.15" customHeight="1">
      <c r="A60" s="23" t="s">
        <v>20</v>
      </c>
      <c r="B60" s="8"/>
      <c r="C60" s="35">
        <f>C14/0.31031</f>
        <v>11424.059811156587</v>
      </c>
      <c r="D60" s="31"/>
      <c r="E60" s="35">
        <f>E14/0.31031</f>
        <v>5420.3860655473563</v>
      </c>
      <c r="F60" s="31"/>
      <c r="G60" s="35">
        <f>G14/0.31031</f>
        <v>65573.136540878477</v>
      </c>
      <c r="H60" s="31"/>
      <c r="I60" s="31">
        <f>I14/0.477834</f>
        <v>13276.577221378137</v>
      </c>
      <c r="J60" s="31">
        <f>J14/0.477834</f>
        <v>0</v>
      </c>
      <c r="K60" s="31">
        <f>K14/0.477834</f>
        <v>16275.526647329409</v>
      </c>
      <c r="L60" s="31">
        <f>L14/0.477834</f>
        <v>0</v>
      </c>
      <c r="M60" s="35">
        <f>M14/0.31031</f>
        <v>22371.17720988689</v>
      </c>
      <c r="N60" s="31"/>
      <c r="O60" s="35">
        <f>O14/0.31031</f>
        <v>367.37456092294804</v>
      </c>
      <c r="P60" s="31"/>
      <c r="Q60" s="35">
        <f>Q14/0.31031</f>
        <v>312.59063517128038</v>
      </c>
      <c r="R60" s="31"/>
      <c r="S60" s="35">
        <f>S14/0.31031</f>
        <v>5894.1058941058945</v>
      </c>
      <c r="T60" s="35"/>
      <c r="U60" s="35">
        <f>U14/0.31031</f>
        <v>882.98797976217338</v>
      </c>
      <c r="V60" s="8"/>
    </row>
    <row r="61" spans="1:22" s="1" customFormat="1" ht="10.15" customHeight="1">
      <c r="A61" s="23" t="s">
        <v>21</v>
      </c>
      <c r="B61" s="8"/>
      <c r="C61" s="35">
        <f>C15/0.33498</f>
        <v>11812.645531076481</v>
      </c>
      <c r="D61" s="31"/>
      <c r="E61" s="35">
        <f>E15/0.33498</f>
        <v>5307.7795689294881</v>
      </c>
      <c r="F61" s="31"/>
      <c r="G61" s="35">
        <f>G15/0.33498</f>
        <v>69684.757298943223</v>
      </c>
      <c r="H61" s="31"/>
      <c r="I61" s="31">
        <f>I15/0.5543</f>
        <v>12464.369475013531</v>
      </c>
      <c r="J61" s="31">
        <f>J15/0.5543</f>
        <v>0</v>
      </c>
      <c r="K61" s="31">
        <f>K15/0.5543</f>
        <v>14780.804618437669</v>
      </c>
      <c r="L61" s="31">
        <f>L15/0.5543</f>
        <v>0</v>
      </c>
      <c r="M61" s="35">
        <f>M15/0.33498</f>
        <v>22180.42868230939</v>
      </c>
      <c r="N61" s="31"/>
      <c r="O61" s="35">
        <f>O15/0.33498</f>
        <v>355.24508925906025</v>
      </c>
      <c r="P61" s="31"/>
      <c r="Q61" s="35">
        <f>Q15/0.33498</f>
        <v>313.45154934622963</v>
      </c>
      <c r="R61" s="31"/>
      <c r="S61" s="35">
        <f>S15/0.33498</f>
        <v>6755.6272016239773</v>
      </c>
      <c r="T61" s="31"/>
      <c r="U61" s="35">
        <f>U15/0.33498</f>
        <v>931.39888948593943</v>
      </c>
      <c r="V61" s="8"/>
    </row>
    <row r="62" spans="1:22" s="1" customFormat="1" ht="10.15" customHeight="1">
      <c r="A62" s="23" t="s">
        <v>22</v>
      </c>
      <c r="B62" s="8"/>
      <c r="C62" s="35">
        <f>C16/0.35613</f>
        <v>12930.671384045152</v>
      </c>
      <c r="D62" s="31"/>
      <c r="E62" s="35">
        <f>E16/0.35613</f>
        <v>5587.8471344733662</v>
      </c>
      <c r="F62" s="31"/>
      <c r="G62" s="35">
        <f>G16/0.35613</f>
        <v>75607.222081824046</v>
      </c>
      <c r="H62" s="31"/>
      <c r="I62" s="31">
        <f>I16/0.585905</f>
        <v>12785.349160700112</v>
      </c>
      <c r="J62" s="31">
        <f>J16/0.585905</f>
        <v>0</v>
      </c>
      <c r="K62" s="31">
        <f>K16/0.585905</f>
        <v>15161.160939060086</v>
      </c>
      <c r="L62" s="31">
        <f>L16/0.585905</f>
        <v>0</v>
      </c>
      <c r="M62" s="35">
        <f>M16/0.35613</f>
        <v>22561.985791705276</v>
      </c>
      <c r="N62" s="31"/>
      <c r="O62" s="35">
        <f>O16/0.35613</f>
        <v>342.57153286721143</v>
      </c>
      <c r="P62" s="31"/>
      <c r="Q62" s="35">
        <f>Q16/0.35613</f>
        <v>367.84320332462863</v>
      </c>
      <c r="R62" s="31"/>
      <c r="S62" s="35">
        <f>S16/0.35613</f>
        <v>7668.5480021340518</v>
      </c>
      <c r="T62" s="31"/>
      <c r="U62" s="35">
        <f>U16/0.35613</f>
        <v>1033.3305253699491</v>
      </c>
      <c r="V62" s="8"/>
    </row>
    <row r="63" spans="1:22" s="1" customFormat="1" ht="10.15" customHeight="1">
      <c r="A63" s="23" t="s">
        <v>23</v>
      </c>
      <c r="B63" s="8"/>
      <c r="C63" s="35">
        <f>C17/0.37677</f>
        <v>12761.100936911113</v>
      </c>
      <c r="D63" s="31"/>
      <c r="E63" s="35">
        <f>E17/0.37677</f>
        <v>5913.4219815802744</v>
      </c>
      <c r="F63" s="31"/>
      <c r="G63" s="35">
        <f>G17/0.37677</f>
        <v>85803.009793773395</v>
      </c>
      <c r="H63" s="31"/>
      <c r="I63" s="31">
        <f>I17/0.608646</f>
        <v>12862.977822905268</v>
      </c>
      <c r="J63" s="31">
        <f>J17/0.608646</f>
        <v>0</v>
      </c>
      <c r="K63" s="31">
        <f>K17/0.608646</f>
        <v>15568.984270002595</v>
      </c>
      <c r="L63" s="31">
        <f>L17/0.608646</f>
        <v>0</v>
      </c>
      <c r="M63" s="35">
        <f>M17/0.37677</f>
        <v>22525.678796082491</v>
      </c>
      <c r="N63" s="31"/>
      <c r="O63" s="35">
        <f>O17/0.37677</f>
        <v>315.84255646680998</v>
      </c>
      <c r="P63" s="31"/>
      <c r="Q63" s="35">
        <f>Q17/0.37677</f>
        <v>376.88775645619342</v>
      </c>
      <c r="R63" s="31"/>
      <c r="S63" s="35">
        <f>S17/0.37677</f>
        <v>8002.2294768691772</v>
      </c>
      <c r="T63" s="31"/>
      <c r="U63" s="35">
        <f>U17/0.37677</f>
        <v>1045.7308172094381</v>
      </c>
      <c r="V63" s="8"/>
    </row>
    <row r="64" spans="1:22" s="1" customFormat="1" ht="10.15" customHeight="1">
      <c r="A64" s="23" t="s">
        <v>24</v>
      </c>
      <c r="B64" s="8"/>
      <c r="C64" s="35">
        <f>C18/0.40083</f>
        <v>12411.745627822269</v>
      </c>
      <c r="D64" s="31"/>
      <c r="E64" s="35">
        <f>E18/0.40083</f>
        <v>4735.1745128857619</v>
      </c>
      <c r="F64" s="31"/>
      <c r="G64" s="35">
        <f>G18/0.40083</f>
        <v>99428.685477633902</v>
      </c>
      <c r="H64" s="31"/>
      <c r="I64" s="31">
        <f>I18/0.634799</f>
        <v>12930.077079516508</v>
      </c>
      <c r="J64" s="31">
        <f>J18/0.634799</f>
        <v>0</v>
      </c>
      <c r="K64" s="31">
        <f>K18/0.634799</f>
        <v>15556.105160846189</v>
      </c>
      <c r="L64" s="31">
        <f>L18/0.634799</f>
        <v>0</v>
      </c>
      <c r="M64" s="35">
        <f>M18/0.40083</f>
        <v>22109.123568595165</v>
      </c>
      <c r="N64" s="31"/>
      <c r="O64" s="35">
        <f>O18/0.40083</f>
        <v>276.92537983683854</v>
      </c>
      <c r="P64" s="31"/>
      <c r="Q64" s="35">
        <f>Q18/0.40083</f>
        <v>396.67689544195792</v>
      </c>
      <c r="R64" s="31"/>
      <c r="S64" s="35">
        <f>S18/0.40083</f>
        <v>8859.1173315370597</v>
      </c>
      <c r="T64" s="31"/>
      <c r="U64" s="35">
        <f>U18/0.40083</f>
        <v>1077.7636404460743</v>
      </c>
      <c r="V64" s="8"/>
    </row>
    <row r="65" spans="1:23" s="1" customFormat="1" ht="10.15" customHeight="1">
      <c r="A65" s="23" t="s">
        <v>25</v>
      </c>
      <c r="B65" s="8"/>
      <c r="C65" s="35">
        <f>C19/0.43007</f>
        <v>12614.225591182831</v>
      </c>
      <c r="D65" s="31"/>
      <c r="E65" s="35">
        <f>E19/0.43007</f>
        <v>4503.9179668426068</v>
      </c>
      <c r="F65" s="31"/>
      <c r="G65" s="35">
        <f>G19/0.43007</f>
        <v>106031.57625502825</v>
      </c>
      <c r="H65" s="31"/>
      <c r="I65" s="31">
        <f>I19/0.678796</f>
        <v>13105.557487080066</v>
      </c>
      <c r="J65" s="31">
        <f>J19/0.678796</f>
        <v>0</v>
      </c>
      <c r="K65" s="31">
        <f>K19/0.678796</f>
        <v>14614.110866887844</v>
      </c>
      <c r="L65" s="31">
        <f>L19/0.678796</f>
        <v>0</v>
      </c>
      <c r="M65" s="35">
        <f>M19/0.43007</f>
        <v>21645.313553607553</v>
      </c>
      <c r="N65" s="31"/>
      <c r="O65" s="35">
        <f>O19/0.43007</f>
        <v>269.72353337828724</v>
      </c>
      <c r="P65" s="31"/>
      <c r="Q65" s="35">
        <f>Q19/0.43007</f>
        <v>406.91050294138165</v>
      </c>
      <c r="R65" s="31"/>
      <c r="S65" s="35">
        <f>S19/0.43007</f>
        <v>10100.681284442067</v>
      </c>
      <c r="T65" s="31"/>
      <c r="U65" s="35">
        <f>U19/0.43007</f>
        <v>1102.1461622526565</v>
      </c>
      <c r="V65" s="36"/>
    </row>
    <row r="66" spans="1:23" s="1" customFormat="1" ht="10.15" customHeight="1">
      <c r="A66" s="23" t="s">
        <v>26</v>
      </c>
      <c r="B66" s="8"/>
      <c r="C66" s="35">
        <f>C20/0.46748</f>
        <v>12676.478138102164</v>
      </c>
      <c r="D66" s="31"/>
      <c r="E66" s="35">
        <f>E20/0.46748</f>
        <v>3752.0321724993582</v>
      </c>
      <c r="F66" s="31"/>
      <c r="G66" s="35">
        <f>G20/0.46748</f>
        <v>109662.44545221186</v>
      </c>
      <c r="H66" s="31"/>
      <c r="I66" s="31">
        <f>I20/0.735113</f>
        <v>13148.998861399539</v>
      </c>
      <c r="J66" s="31">
        <f>J20/0.735113</f>
        <v>0</v>
      </c>
      <c r="K66" s="31">
        <f>K20/0.735113</f>
        <v>15203.104828781425</v>
      </c>
      <c r="L66" s="31">
        <f>L20/0.735113</f>
        <v>0</v>
      </c>
      <c r="M66" s="35">
        <f>M20/0.46748</f>
        <v>21896.123898348593</v>
      </c>
      <c r="N66" s="31"/>
      <c r="O66" s="35">
        <f>O20/0.46748</f>
        <v>293.0606656969282</v>
      </c>
      <c r="P66" s="31"/>
      <c r="Q66" s="35">
        <f>Q20/0.46748</f>
        <v>410.71275776503808</v>
      </c>
      <c r="R66" s="31"/>
      <c r="S66" s="35">
        <f>S20/0.46748</f>
        <v>11662.531017369727</v>
      </c>
      <c r="T66" s="31"/>
      <c r="U66" s="35">
        <f>U20/0.46748</f>
        <v>1110.2079233336185</v>
      </c>
      <c r="V66" s="8"/>
    </row>
    <row r="67" spans="1:23" s="1" customFormat="1" ht="10.15" customHeight="1">
      <c r="A67" s="23" t="s">
        <v>27</v>
      </c>
      <c r="B67" s="8"/>
      <c r="C67" s="35">
        <f>C21/0.50773</f>
        <v>13229.098142713647</v>
      </c>
      <c r="D67" s="31"/>
      <c r="E67" s="35">
        <f>E21/0.50773</f>
        <v>3672.7000571169715</v>
      </c>
      <c r="F67" s="31"/>
      <c r="G67" s="35">
        <f>G21/0.50773</f>
        <v>104273.39333897938</v>
      </c>
      <c r="H67" s="31"/>
      <c r="I67" s="31">
        <f>I21/0.792817</f>
        <v>13880.491967250955</v>
      </c>
      <c r="J67" s="31">
        <f>J21/0.792817</f>
        <v>0</v>
      </c>
      <c r="K67" s="31">
        <f>K21/0.792817</f>
        <v>16288.967063017064</v>
      </c>
      <c r="L67" s="31">
        <f>L21/0.792817</f>
        <v>0</v>
      </c>
      <c r="M67" s="35">
        <f>M21/0.50773</f>
        <v>23193.429578713094</v>
      </c>
      <c r="N67" s="31"/>
      <c r="O67" s="35">
        <f>O21/0.50773</f>
        <v>274.37811435211626</v>
      </c>
      <c r="P67" s="31"/>
      <c r="Q67" s="35">
        <f>Q21/0.50773</f>
        <v>405.15628385165343</v>
      </c>
      <c r="R67" s="31"/>
      <c r="S67" s="35">
        <f>S21/0.50773</f>
        <v>11842.908632540917</v>
      </c>
      <c r="T67" s="31"/>
      <c r="U67" s="35">
        <f>U21/0.50773</f>
        <v>1145.1558899415043</v>
      </c>
      <c r="V67" s="8"/>
    </row>
    <row r="68" spans="1:23" s="1" customFormat="1" ht="10.15" customHeight="1">
      <c r="A68" s="23" t="s">
        <v>28</v>
      </c>
      <c r="B68" s="8"/>
      <c r="C68" s="35">
        <f>C22/0.54886</f>
        <v>13877.400429982144</v>
      </c>
      <c r="D68" s="31"/>
      <c r="E68" s="35">
        <f>E22/0.54886</f>
        <v>3919.4876653427104</v>
      </c>
      <c r="F68" s="31"/>
      <c r="G68" s="35">
        <f>G22/0.54886</f>
        <v>102088.12812010347</v>
      </c>
      <c r="H68" s="31"/>
      <c r="I68" s="31">
        <f>I22/0.842134</f>
        <v>14372.332669147665</v>
      </c>
      <c r="J68" s="31">
        <f>J22/0.842134</f>
        <v>0</v>
      </c>
      <c r="K68" s="31">
        <f>K22/0.842134</f>
        <v>16339.347419769299</v>
      </c>
      <c r="L68" s="31">
        <f>L22/0.842134</f>
        <v>0</v>
      </c>
      <c r="M68" s="35">
        <f>M22/0.54886</f>
        <v>24669.314579309841</v>
      </c>
      <c r="N68" s="31"/>
      <c r="O68" s="35">
        <f>O22/0.54886</f>
        <v>286.44827460554603</v>
      </c>
      <c r="P68" s="31"/>
      <c r="Q68" s="35">
        <f>Q22/0.54886</f>
        <v>442.40790001093171</v>
      </c>
      <c r="R68" s="31"/>
      <c r="S68" s="35">
        <f>S22/0.54886</f>
        <v>12296.232190358196</v>
      </c>
      <c r="T68" s="31"/>
      <c r="U68" s="35">
        <f>U22/0.54886</f>
        <v>1217.8879860073607</v>
      </c>
      <c r="V68" s="8"/>
    </row>
    <row r="69" spans="1:23" s="1" customFormat="1" ht="10.15" customHeight="1">
      <c r="A69" s="23" t="s">
        <v>29</v>
      </c>
      <c r="B69" s="8"/>
      <c r="C69" s="35">
        <f>C23/0.58783</f>
        <v>13199.394382729701</v>
      </c>
      <c r="D69" s="31"/>
      <c r="E69" s="35">
        <f>E23/0.58783</f>
        <v>3660.9223755167313</v>
      </c>
      <c r="F69" s="31"/>
      <c r="G69" s="35">
        <f>G23/0.58783</f>
        <v>73291.597910960656</v>
      </c>
      <c r="H69" s="31"/>
      <c r="I69" s="31">
        <f>I23/0.892113</f>
        <v>12539.891246960866</v>
      </c>
      <c r="J69" s="31">
        <f>J23/0.892113</f>
        <v>0</v>
      </c>
      <c r="K69" s="31">
        <f>K23/0.892113</f>
        <v>16855.488037950348</v>
      </c>
      <c r="L69" s="31">
        <f>L23/0.892113</f>
        <v>0</v>
      </c>
      <c r="M69" s="35">
        <f>M23/0.58783</f>
        <v>24888.147933926477</v>
      </c>
      <c r="N69" s="31"/>
      <c r="O69" s="35">
        <f>O23/0.58783</f>
        <v>287.49808618137899</v>
      </c>
      <c r="P69" s="31"/>
      <c r="Q69" s="35">
        <f>Q23/0.58783</f>
        <v>442.3047479713523</v>
      </c>
      <c r="R69" s="31"/>
      <c r="S69" s="35">
        <f>S23/0.58783</f>
        <v>11812.939115050271</v>
      </c>
      <c r="T69" s="31"/>
      <c r="U69" s="35">
        <f>U23/0.58783</f>
        <v>1297.9943180851608</v>
      </c>
      <c r="V69" s="8"/>
    </row>
    <row r="70" spans="1:23" s="1" customFormat="1" ht="10.15" customHeight="1">
      <c r="A70" s="23" t="s">
        <v>30</v>
      </c>
      <c r="B70" s="8"/>
      <c r="C70" s="35">
        <f>C24/0.62276</f>
        <v>13115.807052476075</v>
      </c>
      <c r="D70" s="31"/>
      <c r="E70" s="35">
        <f>E24/0.62276</f>
        <v>3572.80493287944</v>
      </c>
      <c r="F70" s="31"/>
      <c r="G70" s="35">
        <f>G24/0.62276</f>
        <v>97792.086839231808</v>
      </c>
      <c r="H70" s="31"/>
      <c r="I70" s="31">
        <f>I24/0.944651</f>
        <v>0</v>
      </c>
      <c r="J70" s="31">
        <f>J24/0.944651</f>
        <v>0</v>
      </c>
      <c r="K70" s="31">
        <f>K24/0.944651</f>
        <v>0</v>
      </c>
      <c r="L70" s="31">
        <f>L24/0.944651</f>
        <v>0</v>
      </c>
      <c r="M70" s="35">
        <f>M24/0.62276</f>
        <v>24836.212987346651</v>
      </c>
      <c r="N70" s="31"/>
      <c r="O70" s="35">
        <f>O24/0.62276</f>
        <v>305.09345494251397</v>
      </c>
      <c r="P70" s="31"/>
      <c r="Q70" s="35">
        <f>Q24/0.62276</f>
        <v>488.14952790802238</v>
      </c>
      <c r="R70" s="31"/>
      <c r="S70" s="35">
        <f>S24/0.62276</f>
        <v>10692.722718222109</v>
      </c>
      <c r="T70" s="31"/>
      <c r="U70" s="35">
        <f>U24/0.62276</f>
        <v>1326.3536514869293</v>
      </c>
      <c r="V70" s="8"/>
    </row>
    <row r="71" spans="1:23" s="1" customFormat="1" ht="10.15" customHeight="1">
      <c r="A71" s="23" t="s">
        <v>31</v>
      </c>
      <c r="B71" s="8"/>
      <c r="C71" s="35">
        <f>C25/0.64868</f>
        <v>12844.54584695073</v>
      </c>
      <c r="D71" s="31"/>
      <c r="E71" s="35">
        <f>E25/0.64868</f>
        <v>3360.6709009064562</v>
      </c>
      <c r="F71" s="31"/>
      <c r="G71" s="35">
        <f>G25/0.64868</f>
        <v>83219.769377813398</v>
      </c>
      <c r="H71" s="31"/>
      <c r="I71" s="31">
        <f>I25/0.989479</f>
        <v>0</v>
      </c>
      <c r="J71" s="31">
        <f>J25/0.989479</f>
        <v>0</v>
      </c>
      <c r="K71" s="31">
        <f>K25/0.989479</f>
        <v>0</v>
      </c>
      <c r="L71" s="31">
        <f>L25/0.989479</f>
        <v>0</v>
      </c>
      <c r="M71" s="35">
        <f>M25/0.64868</f>
        <v>24987.667262748964</v>
      </c>
      <c r="N71" s="31"/>
      <c r="O71" s="35">
        <f>O25/0.64868</f>
        <v>312.94320774495895</v>
      </c>
      <c r="P71" s="31"/>
      <c r="Q71" s="35">
        <f>Q25/0.64868</f>
        <v>493.30949004131463</v>
      </c>
      <c r="R71" s="31"/>
      <c r="S71" s="35">
        <f>S25/0.64868</f>
        <v>10393.414318307949</v>
      </c>
      <c r="T71" s="31"/>
      <c r="U71" s="35">
        <f>U25/0.64868</f>
        <v>1356.6010976136154</v>
      </c>
      <c r="V71" s="8"/>
    </row>
    <row r="72" spans="1:23" s="1" customFormat="1" ht="10.15" customHeight="1">
      <c r="A72" s="23">
        <v>1995</v>
      </c>
      <c r="B72" s="8"/>
      <c r="C72" s="35">
        <f>C26/0.67367</f>
        <v>13163.715172116912</v>
      </c>
      <c r="D72" s="31"/>
      <c r="E72" s="35">
        <f>E26/0.67367</f>
        <v>3558.1219291344428</v>
      </c>
      <c r="F72" s="31"/>
      <c r="G72" s="35">
        <f>G26/0.67367</f>
        <v>76679.976843261538</v>
      </c>
      <c r="H72" s="31"/>
      <c r="I72" s="31"/>
      <c r="J72" s="31"/>
      <c r="K72" s="31"/>
      <c r="L72" s="31"/>
      <c r="M72" s="35">
        <f>M26/0.67367</f>
        <v>25506.553653866136</v>
      </c>
      <c r="N72" s="31"/>
      <c r="O72" s="35">
        <f>O26/0.67367</f>
        <v>332.50701381982276</v>
      </c>
      <c r="P72" s="31"/>
      <c r="Q72" s="35">
        <f>Q26/0.67367</f>
        <v>509.15136491160359</v>
      </c>
      <c r="R72" s="31"/>
      <c r="S72" s="35">
        <f>S26/0.67367</f>
        <v>9233.007258746864</v>
      </c>
      <c r="T72" s="31"/>
      <c r="U72" s="35">
        <f>U26/0.67367</f>
        <v>1425.0300592278118</v>
      </c>
      <c r="V72" s="8"/>
    </row>
    <row r="73" spans="1:23" s="1" customFormat="1" ht="10.15" customHeight="1">
      <c r="A73" s="19">
        <v>1996</v>
      </c>
      <c r="B73" s="8"/>
      <c r="C73" s="35">
        <f>C27/0.69111</f>
        <v>12475.582758171637</v>
      </c>
      <c r="D73" s="31"/>
      <c r="E73" s="35">
        <f>E27/0.69111</f>
        <v>3332.3204699686012</v>
      </c>
      <c r="F73" s="31"/>
      <c r="G73" s="35">
        <f>G27/0.69111</f>
        <v>82334.21597140831</v>
      </c>
      <c r="H73" s="31"/>
      <c r="I73" s="31"/>
      <c r="J73" s="31"/>
      <c r="K73" s="31"/>
      <c r="L73" s="31"/>
      <c r="M73" s="35">
        <f>M27/0.69111</f>
        <v>26590.557219545368</v>
      </c>
      <c r="N73" s="31"/>
      <c r="O73" s="35">
        <f>O27/0.69111</f>
        <v>354.50217765623415</v>
      </c>
      <c r="P73" s="31"/>
      <c r="Q73" s="35">
        <f>Q27/0.69111</f>
        <v>544.05232162752668</v>
      </c>
      <c r="R73" s="31"/>
      <c r="S73" s="35">
        <f>S27/0.69111</f>
        <v>9594.7099593407711</v>
      </c>
      <c r="T73" s="31"/>
      <c r="U73" s="35">
        <f>U27/0.69111</f>
        <v>1500.4847274674075</v>
      </c>
      <c r="V73" s="8"/>
    </row>
    <row r="74" spans="1:23" s="1" customFormat="1" ht="10.15" customHeight="1">
      <c r="A74" s="19">
        <v>1997</v>
      </c>
      <c r="B74" s="8"/>
      <c r="C74" s="35">
        <f>C28/0.70611</f>
        <v>13510.642817691294</v>
      </c>
      <c r="D74" s="31"/>
      <c r="E74" s="35">
        <f>E28/0.70611</f>
        <v>3461.2170908215435</v>
      </c>
      <c r="F74" s="31"/>
      <c r="G74" s="35">
        <f>G28/0.70611</f>
        <v>90565.209386639472</v>
      </c>
      <c r="H74" s="31"/>
      <c r="I74" s="31"/>
      <c r="J74" s="31"/>
      <c r="K74" s="31"/>
      <c r="L74" s="31"/>
      <c r="M74" s="35">
        <f>M28/0.70611</f>
        <v>26939.145458922831</v>
      </c>
      <c r="N74" s="31"/>
      <c r="O74" s="35">
        <f>O28/0.70611</f>
        <v>395.12257297021711</v>
      </c>
      <c r="P74" s="31"/>
      <c r="Q74" s="35">
        <f>Q28/0.70611</f>
        <v>582.06228491311549</v>
      </c>
      <c r="R74" s="31"/>
      <c r="S74" s="35">
        <f>S28/0.70611</f>
        <v>8954.695444052626</v>
      </c>
      <c r="T74" s="31"/>
      <c r="U74" s="35">
        <f>U28/0.70611</f>
        <v>1662.6304683406267</v>
      </c>
      <c r="V74" s="8"/>
    </row>
    <row r="75" spans="1:23" s="1" customFormat="1" ht="10.15" customHeight="1">
      <c r="A75" s="19">
        <v>1998</v>
      </c>
      <c r="B75" s="8"/>
      <c r="C75" s="35">
        <f>C29/0.71835</f>
        <v>14259.627241500124</v>
      </c>
      <c r="D75" s="31"/>
      <c r="E75" s="35">
        <f>E29/0.71835</f>
        <v>3540.9865595141969</v>
      </c>
      <c r="F75" s="31"/>
      <c r="G75" s="35">
        <f>G29/0.71835</f>
        <v>113227.65154885821</v>
      </c>
      <c r="H75" s="31"/>
      <c r="I75" s="31"/>
      <c r="J75" s="31"/>
      <c r="K75" s="31"/>
      <c r="L75" s="31"/>
      <c r="M75" s="35">
        <f>M29/0.71835</f>
        <v>27338.565948978827</v>
      </c>
      <c r="N75" s="31"/>
      <c r="O75" s="35">
        <f>O29/0.71835</f>
        <v>375.23049546094717</v>
      </c>
      <c r="P75" s="31"/>
      <c r="Q75" s="35">
        <f>Q29/0.71835</f>
        <v>606.26489373215884</v>
      </c>
      <c r="R75" s="31"/>
      <c r="S75" s="35">
        <f>S29/0.71835</f>
        <v>3060.5025685419128</v>
      </c>
      <c r="T75" s="31"/>
      <c r="U75" s="35">
        <f>U29/0.71835</f>
        <v>1869.2475671429172</v>
      </c>
      <c r="V75" s="8"/>
    </row>
    <row r="76" spans="1:23" s="1" customFormat="1" ht="10.15" customHeight="1">
      <c r="A76" s="19">
        <v>1999</v>
      </c>
      <c r="B76" s="8"/>
      <c r="C76" s="37">
        <f>C30/0.734</f>
        <v>15352.026526447324</v>
      </c>
      <c r="D76" s="38"/>
      <c r="E76" s="37">
        <f>E30/0.734</f>
        <v>3249.0340089710089</v>
      </c>
      <c r="F76" s="38"/>
      <c r="G76" s="37">
        <f>G30/0.734</f>
        <v>111043.44711484658</v>
      </c>
      <c r="H76" s="38"/>
      <c r="I76" s="38"/>
      <c r="J76" s="38"/>
      <c r="K76" s="38"/>
      <c r="L76" s="38"/>
      <c r="M76" s="37">
        <f>M30/0.734</f>
        <v>29927.060338249285</v>
      </c>
      <c r="N76" s="38"/>
      <c r="O76" s="37">
        <f>O30/0.734</f>
        <v>353.63960618716004</v>
      </c>
      <c r="P76" s="38"/>
      <c r="Q76" s="37">
        <f>Q30/0.734</f>
        <v>620.47639316948778</v>
      </c>
      <c r="R76" s="38"/>
      <c r="S76" s="37">
        <f>S30/0.734</f>
        <v>4576.6310954221599</v>
      </c>
      <c r="T76" s="38"/>
      <c r="U76" s="37">
        <f>U30/0.734</f>
        <v>2143.0386158555093</v>
      </c>
      <c r="V76" s="20"/>
    </row>
    <row r="77" spans="1:23" s="1" customFormat="1" ht="10.15" customHeight="1">
      <c r="A77" s="19">
        <v>2000</v>
      </c>
      <c r="B77" s="20"/>
      <c r="C77" s="37">
        <f>C31/0.75297</f>
        <v>15841.937710518381</v>
      </c>
      <c r="D77" s="38"/>
      <c r="E77" s="37">
        <f>E31/0.75297</f>
        <v>3059.1057513019746</v>
      </c>
      <c r="F77" s="38"/>
      <c r="G77" s="37">
        <f>G31/0.75297</f>
        <v>110562.40055138941</v>
      </c>
      <c r="H77" s="38"/>
      <c r="I77" s="38"/>
      <c r="J77" s="38"/>
      <c r="K77" s="38"/>
      <c r="L77" s="38"/>
      <c r="M77" s="37">
        <f>M31/0.75297</f>
        <v>29850.840049934344</v>
      </c>
      <c r="N77" s="38"/>
      <c r="O77" s="37">
        <f>O31/0.75297</f>
        <v>355.4571350508441</v>
      </c>
      <c r="P77" s="38"/>
      <c r="Q77" s="37">
        <f>Q31/0.75297</f>
        <v>669.17023596448882</v>
      </c>
      <c r="R77" s="38"/>
      <c r="S77" s="37">
        <f>S31/0.75297</f>
        <v>4170.3954360141133</v>
      </c>
      <c r="T77" s="38"/>
      <c r="U77" s="37">
        <f>U31/0.75297</f>
        <v>2460.8438305509881</v>
      </c>
      <c r="V77" s="20"/>
    </row>
    <row r="78" spans="1:23" s="1" customFormat="1" ht="10.15" customHeight="1">
      <c r="A78" s="19">
        <v>2001</v>
      </c>
      <c r="B78" s="20"/>
      <c r="C78" s="37">
        <f>C32/0.77833</f>
        <v>16305.060682497311</v>
      </c>
      <c r="D78" s="38"/>
      <c r="E78" s="37">
        <f>E32/0.77833</f>
        <v>3176.6519048270088</v>
      </c>
      <c r="F78" s="38"/>
      <c r="G78" s="37">
        <f>G32/0.77833</f>
        <v>111366.02176874904</v>
      </c>
      <c r="H78" s="38"/>
      <c r="I78" s="38"/>
      <c r="J78" s="38"/>
      <c r="K78" s="38"/>
      <c r="L78" s="38"/>
      <c r="M78" s="37">
        <f>M32/0.77833</f>
        <v>31267.007177458807</v>
      </c>
      <c r="N78" s="38"/>
      <c r="O78" s="37">
        <f>O32/0.77833</f>
        <v>331.71717740902756</v>
      </c>
      <c r="P78" s="38"/>
      <c r="Q78" s="37">
        <f>Q32/0.77833</f>
        <v>575.20277523799405</v>
      </c>
      <c r="R78" s="38"/>
      <c r="S78" s="37">
        <f>S32/0.77833</f>
        <v>4472.8630277397842</v>
      </c>
      <c r="T78" s="38"/>
      <c r="U78" s="37">
        <f>U32/0.77833</f>
        <v>2669.5612080543128</v>
      </c>
      <c r="V78" s="20"/>
    </row>
    <row r="79" spans="1:23" s="1" customFormat="1" ht="10.15" customHeight="1">
      <c r="A79" s="19">
        <v>2002</v>
      </c>
      <c r="B79" s="20"/>
      <c r="C79" s="37">
        <f>C33/0.79902</f>
        <v>16719.632544951837</v>
      </c>
      <c r="D79" s="38"/>
      <c r="E79" s="37">
        <f>E33/0.79902</f>
        <v>3378.9093997485952</v>
      </c>
      <c r="F79" s="38"/>
      <c r="G79" s="37">
        <f>G33/0.79902</f>
        <v>118157.17534409706</v>
      </c>
      <c r="H79" s="38"/>
      <c r="I79" s="38"/>
      <c r="J79" s="38"/>
      <c r="K79" s="38"/>
      <c r="L79" s="38"/>
      <c r="M79" s="37">
        <f>M33/0.79902</f>
        <v>32083.889162527703</v>
      </c>
      <c r="N79" s="38"/>
      <c r="O79" s="37">
        <f>O33/0.79902</f>
        <v>326.51992318180623</v>
      </c>
      <c r="P79" s="38"/>
      <c r="Q79" s="37">
        <f>Q33/0.79902</f>
        <v>564.12086096873418</v>
      </c>
      <c r="R79" s="38"/>
      <c r="S79" s="37">
        <f>S33/0.79902</f>
        <v>4995.6933972241723</v>
      </c>
      <c r="T79" s="38"/>
      <c r="U79" s="37">
        <f>U33/0.79902</f>
        <v>2843.7188250650147</v>
      </c>
      <c r="V79" s="20"/>
    </row>
    <row r="80" spans="1:23" s="1" customFormat="1" ht="10.15" customHeight="1">
      <c r="A80" s="19">
        <v>2003</v>
      </c>
      <c r="B80" s="20"/>
      <c r="C80" s="37">
        <f>C34/0.82739</f>
        <v>16530.835184806921</v>
      </c>
      <c r="D80" s="38"/>
      <c r="E80" s="37">
        <f>E34/0.82739</f>
        <v>3536.1305055745261</v>
      </c>
      <c r="F80" s="38"/>
      <c r="G80" s="37">
        <f>G34/0.82739</f>
        <v>117742.78701861491</v>
      </c>
      <c r="H80" s="38"/>
      <c r="I80" s="38"/>
      <c r="J80" s="38"/>
      <c r="K80" s="38"/>
      <c r="L80" s="38"/>
      <c r="M80" s="37">
        <f>M34/0.82739</f>
        <v>32314.897874007071</v>
      </c>
      <c r="N80" s="38"/>
      <c r="O80" s="37">
        <f>O34/0.82739</f>
        <v>310.03030210228741</v>
      </c>
      <c r="P80" s="38"/>
      <c r="Q80" s="37">
        <f>Q34/0.82739</f>
        <v>541.67981999138976</v>
      </c>
      <c r="R80" s="38"/>
      <c r="S80" s="37">
        <f>S34/0.82739</f>
        <v>4527.2141169880369</v>
      </c>
      <c r="T80" s="38"/>
      <c r="U80" s="37">
        <f>U34/0.82739</f>
        <v>3039.0345587028278</v>
      </c>
      <c r="V80" s="20"/>
      <c r="W80" s="39"/>
    </row>
    <row r="81" spans="1:23" s="1" customFormat="1" ht="10.15" customHeight="1">
      <c r="A81" s="19">
        <v>2004</v>
      </c>
      <c r="B81" s="20"/>
      <c r="C81" s="37">
        <f>C35/0.85951</f>
        <v>16043.739367249866</v>
      </c>
      <c r="D81" s="38"/>
      <c r="E81" s="37">
        <f>E35/0.85951</f>
        <v>3417.1445830054381</v>
      </c>
      <c r="F81" s="38"/>
      <c r="G81" s="37">
        <f>G35/0.85951</f>
        <v>118567.85087263468</v>
      </c>
      <c r="H81" s="38"/>
      <c r="I81" s="38"/>
      <c r="J81" s="38"/>
      <c r="K81" s="38"/>
      <c r="L81" s="38"/>
      <c r="M81" s="37">
        <f>M35/0.85951</f>
        <v>32169.00417492837</v>
      </c>
      <c r="N81" s="38"/>
      <c r="O81" s="37">
        <f>O35/0.85951</f>
        <v>294.68555436981183</v>
      </c>
      <c r="P81" s="38"/>
      <c r="Q81" s="37">
        <f>Q35/0.85951</f>
        <v>585.85368221860858</v>
      </c>
      <c r="R81" s="38"/>
      <c r="S81" s="37">
        <f>S35/0.85951</f>
        <v>4768.3800668344429</v>
      </c>
      <c r="T81" s="38"/>
      <c r="U81" s="37">
        <f>U35/0.85951</f>
        <v>3182.0329865076915</v>
      </c>
      <c r="V81" s="20"/>
    </row>
    <row r="82" spans="1:23" s="1" customFormat="1" ht="10.15" customHeight="1">
      <c r="A82" s="19">
        <v>2005</v>
      </c>
      <c r="B82" s="20"/>
      <c r="C82" s="37">
        <f>C36/0.88631</f>
        <v>16248.862879494234</v>
      </c>
      <c r="D82" s="38"/>
      <c r="E82" s="37">
        <f>E36/0.88631</f>
        <v>2879.6556875637871</v>
      </c>
      <c r="F82" s="38"/>
      <c r="G82" s="37">
        <f>G36/0.88631</f>
        <v>124436.20877048167</v>
      </c>
      <c r="H82" s="38"/>
      <c r="I82" s="38"/>
      <c r="J82" s="38"/>
      <c r="K82" s="38"/>
      <c r="L82" s="38"/>
      <c r="M82" s="37">
        <f>M36/0.88631</f>
        <v>33331.659215610387</v>
      </c>
      <c r="N82" s="38"/>
      <c r="O82" s="37">
        <f>O36/0.88631</f>
        <v>309.94664398613628</v>
      </c>
      <c r="P82" s="38"/>
      <c r="Q82" s="37">
        <f>Q36/0.88631</f>
        <v>502.49515473420979</v>
      </c>
      <c r="R82" s="38"/>
      <c r="S82" s="37">
        <f>S36/0.88631</f>
        <v>4991.3868033155204</v>
      </c>
      <c r="T82" s="38"/>
      <c r="U82" s="37">
        <f>U36/0.88631</f>
        <v>3321.5817700281</v>
      </c>
      <c r="V82" s="20"/>
    </row>
    <row r="83" spans="1:23" s="1" customFormat="1" ht="10.15" customHeight="1">
      <c r="A83" s="19">
        <v>2006</v>
      </c>
      <c r="B83" s="20"/>
      <c r="C83" s="37">
        <f>C37/0.91444</f>
        <v>14509.941573250091</v>
      </c>
      <c r="D83" s="38"/>
      <c r="E83" s="37">
        <f>E37/0.91444</f>
        <v>2955.8161122187448</v>
      </c>
      <c r="F83" s="38"/>
      <c r="G83" s="37">
        <f>G37/0.91444</f>
        <v>121126.61583447859</v>
      </c>
      <c r="H83" s="38"/>
      <c r="I83" s="38"/>
      <c r="J83" s="38"/>
      <c r="K83" s="38"/>
      <c r="L83" s="38"/>
      <c r="M83" s="37">
        <f>M37/0.91444</f>
        <v>33538.182884306108</v>
      </c>
      <c r="N83" s="38"/>
      <c r="O83" s="37">
        <f>O37/0.91444</f>
        <v>284.41756343261505</v>
      </c>
      <c r="P83" s="38"/>
      <c r="Q83" s="37">
        <f>Q37/0.91444</f>
        <v>462.52944780799993</v>
      </c>
      <c r="R83" s="38"/>
      <c r="S83" s="37">
        <f>S37/0.91444</f>
        <v>5765.09661068266</v>
      </c>
      <c r="T83" s="38"/>
      <c r="U83" s="37">
        <f>U37/0.91444</f>
        <v>1285.2232928061187</v>
      </c>
      <c r="V83" s="20"/>
      <c r="W83" s="39"/>
    </row>
    <row r="84" spans="1:23" s="39" customFormat="1" ht="10.15" customHeight="1">
      <c r="A84" s="19">
        <v>2007</v>
      </c>
      <c r="B84" s="20"/>
      <c r="C84" s="37">
        <f>C38/0.94622</f>
        <v>14944.332796257762</v>
      </c>
      <c r="D84" s="38"/>
      <c r="E84" s="37">
        <f>E38/0.94622</f>
        <v>3140.6249909148805</v>
      </c>
      <c r="F84" s="38"/>
      <c r="G84" s="37">
        <f>G38/0.94622</f>
        <v>122170.22433607932</v>
      </c>
      <c r="H84" s="38"/>
      <c r="I84" s="38"/>
      <c r="J84" s="38"/>
      <c r="K84" s="38"/>
      <c r="L84" s="38"/>
      <c r="M84" s="37">
        <f>M38/0.94622</f>
        <v>33576.745132659162</v>
      </c>
      <c r="N84" s="38"/>
      <c r="O84" s="37">
        <f>O38/0.94622</f>
        <v>289.69392699487474</v>
      </c>
      <c r="P84" s="38"/>
      <c r="Q84" s="37">
        <f>Q38/0.94622</f>
        <v>514.81136509746261</v>
      </c>
      <c r="R84" s="38"/>
      <c r="S84" s="37">
        <f>S38/0.94622</f>
        <v>6296.5398239694132</v>
      </c>
      <c r="T84" s="38"/>
      <c r="U84" s="37">
        <f>U38/0.94622</f>
        <v>467.10653707990502</v>
      </c>
      <c r="V84" s="20"/>
    </row>
    <row r="85" spans="1:23" s="39" customFormat="1" ht="10.15" customHeight="1">
      <c r="A85" s="19">
        <v>2008</v>
      </c>
      <c r="B85" s="20"/>
      <c r="C85" s="37">
        <f>C39/0.97546</f>
        <v>15112.420084938512</v>
      </c>
      <c r="D85" s="38"/>
      <c r="E85" s="37">
        <f>E39/0.97546</f>
        <v>3236.5355163471127</v>
      </c>
      <c r="F85" s="38"/>
      <c r="G85" s="37">
        <f>G39/0.97546</f>
        <v>126346.2128771335</v>
      </c>
      <c r="H85" s="38"/>
      <c r="I85" s="38"/>
      <c r="J85" s="38"/>
      <c r="K85" s="38"/>
      <c r="L85" s="38"/>
      <c r="M85" s="37">
        <f>M39/0.97546</f>
        <v>33929.890461008305</v>
      </c>
      <c r="N85" s="38"/>
      <c r="O85" s="37">
        <f>O39/0.97546</f>
        <v>289.60438748717996</v>
      </c>
      <c r="P85" s="38"/>
      <c r="Q85" s="37">
        <f>Q39/0.97546</f>
        <v>613.13563911250753</v>
      </c>
      <c r="R85" s="38"/>
      <c r="S85" s="37">
        <f>S39/0.97546</f>
        <v>6416.2992695502571</v>
      </c>
      <c r="T85" s="38"/>
      <c r="U85" s="37">
        <f>U39/0.97546</f>
        <v>442.87286109467385</v>
      </c>
      <c r="V85" s="20"/>
    </row>
    <row r="86" spans="1:23" s="1" customFormat="1" ht="10.15" customHeight="1">
      <c r="A86" s="33">
        <v>2009</v>
      </c>
      <c r="B86" s="26"/>
      <c r="C86" s="44">
        <f>C40/1</f>
        <v>15336.813357351493</v>
      </c>
      <c r="D86" s="41"/>
      <c r="E86" s="40">
        <f>E40/1</f>
        <v>3341.4040256990629</v>
      </c>
      <c r="F86" s="41"/>
      <c r="G86" s="40">
        <f>G40/1</f>
        <v>136895.32237871675</v>
      </c>
      <c r="H86" s="41"/>
      <c r="I86" s="41"/>
      <c r="J86" s="41"/>
      <c r="K86" s="41"/>
      <c r="L86" s="41"/>
      <c r="M86" s="40">
        <f>M40/1</f>
        <v>34197.098086848018</v>
      </c>
      <c r="N86" s="41"/>
      <c r="O86" s="40">
        <f>O40/1</f>
        <v>298.94086171933048</v>
      </c>
      <c r="P86" s="41"/>
      <c r="Q86" s="40">
        <f>Q40/1</f>
        <v>590.92030382051655</v>
      </c>
      <c r="R86" s="41"/>
      <c r="S86" s="40">
        <f>S40/1</f>
        <v>7044.6591386436849</v>
      </c>
      <c r="T86" s="41"/>
      <c r="U86" s="40">
        <f>U40/1</f>
        <v>442.96568605275223</v>
      </c>
      <c r="V86" s="26"/>
    </row>
    <row r="87" spans="1:23" s="4" customFormat="1" ht="9.9499999999999993" customHeight="1">
      <c r="A87" s="9" t="s">
        <v>45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</row>
    <row r="88" spans="1:23" s="4" customFormat="1" ht="9.9499999999999993" customHeight="1">
      <c r="A88" s="11" t="s">
        <v>36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</row>
    <row r="89" spans="1:23" s="4" customFormat="1" ht="9.9499999999999993" customHeight="1">
      <c r="A89" s="12" t="s">
        <v>46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</row>
    <row r="90" spans="1:23" s="4" customFormat="1" ht="9" customHeight="1">
      <c r="A90" s="14" t="s">
        <v>37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  <row r="91" spans="1:23" s="4" customFormat="1" ht="9" customHeight="1">
      <c r="A91" s="14" t="s">
        <v>38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  <row r="92" spans="1:23" s="4" customFormat="1" ht="9" customHeight="1">
      <c r="A92" s="14" t="s">
        <v>39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3" s="4" customFormat="1" ht="9.9499999999999993" customHeight="1">
      <c r="A93" s="9" t="s">
        <v>47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</row>
    <row r="94" spans="1:23" s="4" customFormat="1" ht="9" customHeight="1">
      <c r="A94" s="14" t="s">
        <v>40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5" spans="1:23" s="4" customFormat="1" ht="9" customHeight="1">
      <c r="A95" s="15" t="s">
        <v>41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</row>
    <row r="96" spans="1:23" s="4" customFormat="1" ht="9" customHeight="1">
      <c r="A96" s="15" t="s">
        <v>42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</row>
    <row r="97" spans="1:22" s="4" customFormat="1" ht="6" customHeight="1">
      <c r="A97" s="14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</row>
    <row r="98" spans="1:22" s="4" customFormat="1" ht="9" customHeight="1">
      <c r="A98" s="16" t="s">
        <v>59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</row>
    <row r="99" spans="1:22" s="4" customFormat="1" ht="9" customHeight="1">
      <c r="A99" s="15" t="s">
        <v>60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</row>
    <row r="100" spans="1:22" s="4" customFormat="1" ht="8.4499999999999993" customHeight="1">
      <c r="A100" s="15" t="s">
        <v>68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</row>
    <row r="101" spans="1:22" s="4" customFormat="1" ht="8.4499999999999993" customHeight="1">
      <c r="A101" s="43" t="s">
        <v>61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</row>
    <row r="102" spans="1:22" s="4" customFormat="1" ht="8.4499999999999993" customHeight="1">
      <c r="A102" s="43" t="s">
        <v>62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</row>
    <row r="103" spans="1:22" s="4" customFormat="1" ht="8.4499999999999993" customHeight="1">
      <c r="A103" s="43" t="s">
        <v>63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</row>
    <row r="104" spans="1:22" s="4" customFormat="1" ht="8.4499999999999993" customHeight="1">
      <c r="A104" s="43" t="s">
        <v>64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</row>
    <row r="105" spans="1:22" s="4" customFormat="1" ht="8.4499999999999993" customHeight="1">
      <c r="A105" s="43" t="s">
        <v>65</v>
      </c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</row>
    <row r="106" spans="1:22" s="4" customFormat="1" ht="6" customHeight="1">
      <c r="A106" s="17" t="s">
        <v>0</v>
      </c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</row>
    <row r="107" spans="1:22" s="5" customFormat="1" ht="9" customHeight="1">
      <c r="A107" s="17" t="s">
        <v>43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0"/>
      <c r="N107" s="10"/>
      <c r="O107" s="10"/>
      <c r="P107" s="10"/>
      <c r="Q107" s="10"/>
      <c r="R107" s="10"/>
      <c r="S107" s="10"/>
      <c r="T107" s="10"/>
      <c r="U107" s="10"/>
      <c r="V107" s="10"/>
    </row>
    <row r="108" spans="1:22" s="5" customFormat="1" ht="9" customHeight="1">
      <c r="A108" s="15" t="s">
        <v>44</v>
      </c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0"/>
      <c r="N108" s="10"/>
      <c r="O108" s="10"/>
      <c r="P108" s="10"/>
      <c r="Q108" s="10"/>
      <c r="R108" s="10"/>
      <c r="S108" s="10"/>
      <c r="T108" s="10"/>
      <c r="U108" s="10"/>
      <c r="V108" s="10"/>
    </row>
    <row r="109" spans="1:22" s="5" customFormat="1" ht="9" customHeight="1">
      <c r="A109" s="15" t="s">
        <v>69</v>
      </c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</sheetData>
  <mergeCells count="7">
    <mergeCell ref="A1:V1"/>
    <mergeCell ref="C51:V51"/>
    <mergeCell ref="A3:V3"/>
    <mergeCell ref="A48:V48"/>
    <mergeCell ref="A46:V46"/>
    <mergeCell ref="A2:V2"/>
    <mergeCell ref="A47:V47"/>
  </mergeCells>
  <phoneticPr fontId="2" type="noConversion"/>
  <printOptions gridLinesSet="0"/>
  <pageMargins left="0.8" right="0.7" top="1" bottom="0.5" header="0.5" footer="0.5"/>
  <pageSetup firstPageNumber="234" orientation="portrait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4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TABLE13.15</vt:lpstr>
      <vt:lpstr>TABLE13.15!Print_Area</vt:lpstr>
      <vt:lpstr>Print_Area</vt:lpstr>
      <vt:lpstr>TABLE13.15!Print_Area_MI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2012-06-06T14:53:41Z</cp:lastPrinted>
  <dcterms:created xsi:type="dcterms:W3CDTF">1999-10-08T13:43:52Z</dcterms:created>
  <dcterms:modified xsi:type="dcterms:W3CDTF">2012-06-06T15:02:45Z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1108310467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