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9630" windowHeight="5175" tabRatio="601"/>
  </bookViews>
  <sheets>
    <sheet name="TABLE13.11" sheetId="1" r:id="rId1"/>
  </sheets>
  <definedNames>
    <definedName name="_Regression_Int" localSheetId="0" hidden="1">1</definedName>
    <definedName name="_xlnm.Print_Area" localSheetId="0">TABLE13.11!$A$1:$L$106</definedName>
    <definedName name="Print_Area_MI">TABLE13.11!$A$1:$K$95</definedName>
  </definedNames>
  <calcPr calcId="145621"/>
</workbook>
</file>

<file path=xl/calcChain.xml><?xml version="1.0" encoding="utf-8"?>
<calcChain xmlns="http://schemas.openxmlformats.org/spreadsheetml/2006/main">
  <c r="I40" i="1" l="1"/>
  <c r="K40" i="1" l="1"/>
  <c r="G40" i="1"/>
  <c r="E40" i="1"/>
  <c r="C40" i="1"/>
  <c r="K90" i="1" l="1"/>
  <c r="I90" i="1"/>
  <c r="E90" i="1"/>
  <c r="G89" i="1"/>
  <c r="C90" i="1"/>
  <c r="K76" i="1"/>
  <c r="I76" i="1"/>
  <c r="G76" i="1"/>
  <c r="E76" i="1"/>
  <c r="C76" i="1"/>
  <c r="K75" i="1"/>
  <c r="I75" i="1"/>
  <c r="G75" i="1"/>
  <c r="E75" i="1"/>
  <c r="C75" i="1"/>
  <c r="K74" i="1"/>
  <c r="I74" i="1"/>
  <c r="G74" i="1"/>
  <c r="E74" i="1"/>
  <c r="C74" i="1"/>
  <c r="K73" i="1"/>
  <c r="I73" i="1"/>
  <c r="G73" i="1"/>
  <c r="E73" i="1"/>
  <c r="C73" i="1"/>
  <c r="K72" i="1"/>
  <c r="I72" i="1"/>
  <c r="G72" i="1"/>
  <c r="E72" i="1"/>
  <c r="C72" i="1"/>
  <c r="K71" i="1"/>
  <c r="I71" i="1"/>
  <c r="G71" i="1"/>
  <c r="E71" i="1"/>
  <c r="C71" i="1"/>
  <c r="K70" i="1"/>
  <c r="I70" i="1"/>
  <c r="G70" i="1"/>
  <c r="E70" i="1"/>
  <c r="C70" i="1"/>
  <c r="K69" i="1"/>
  <c r="I69" i="1"/>
  <c r="G69" i="1"/>
  <c r="E69" i="1"/>
  <c r="C69" i="1"/>
  <c r="K68" i="1"/>
  <c r="I68" i="1"/>
  <c r="G68" i="1"/>
  <c r="E68" i="1"/>
  <c r="C68" i="1"/>
  <c r="K67" i="1"/>
  <c r="I67" i="1"/>
  <c r="G67" i="1"/>
  <c r="E67" i="1"/>
  <c r="C67" i="1"/>
  <c r="K66" i="1"/>
  <c r="I66" i="1"/>
  <c r="G66" i="1"/>
  <c r="E66" i="1"/>
  <c r="C66" i="1"/>
  <c r="K65" i="1"/>
  <c r="I65" i="1"/>
  <c r="G65" i="1"/>
  <c r="E65" i="1"/>
  <c r="C65" i="1"/>
  <c r="K64" i="1"/>
  <c r="I64" i="1"/>
  <c r="G64" i="1"/>
  <c r="E64" i="1"/>
  <c r="C64" i="1"/>
  <c r="K63" i="1"/>
  <c r="I63" i="1"/>
  <c r="G63" i="1"/>
  <c r="E63" i="1"/>
  <c r="C63" i="1"/>
  <c r="K62" i="1"/>
  <c r="I62" i="1"/>
  <c r="G62" i="1"/>
  <c r="E62" i="1"/>
  <c r="C62" i="1"/>
  <c r="K61" i="1"/>
  <c r="I61" i="1"/>
  <c r="G61" i="1"/>
  <c r="E61" i="1"/>
  <c r="C61" i="1"/>
  <c r="K60" i="1"/>
  <c r="I60" i="1"/>
  <c r="G60" i="1"/>
  <c r="E60" i="1"/>
  <c r="C60" i="1"/>
  <c r="K59" i="1"/>
  <c r="I59" i="1"/>
  <c r="G59" i="1"/>
  <c r="E59" i="1"/>
  <c r="C59" i="1"/>
  <c r="K58" i="1"/>
  <c r="I58" i="1"/>
  <c r="G58" i="1"/>
  <c r="E58" i="1"/>
  <c r="C58" i="1"/>
  <c r="K57" i="1"/>
  <c r="I57" i="1"/>
  <c r="G57" i="1"/>
  <c r="E57" i="1"/>
  <c r="C57" i="1"/>
  <c r="K56" i="1"/>
  <c r="I56" i="1"/>
  <c r="G56" i="1"/>
  <c r="E56" i="1"/>
  <c r="C56" i="1"/>
  <c r="K55" i="1"/>
  <c r="I55" i="1"/>
  <c r="G55" i="1"/>
  <c r="E55" i="1"/>
  <c r="C55" i="1"/>
  <c r="G90" i="1"/>
  <c r="K39" i="1"/>
  <c r="K89" i="1" s="1"/>
  <c r="I39" i="1"/>
  <c r="I89" i="1" s="1"/>
  <c r="G39" i="1"/>
  <c r="E39" i="1"/>
  <c r="E89" i="1" s="1"/>
  <c r="C39" i="1"/>
  <c r="C89" i="1" s="1"/>
  <c r="K38" i="1" l="1"/>
  <c r="K88" i="1" s="1"/>
  <c r="I38" i="1"/>
  <c r="I88" i="1" s="1"/>
  <c r="G38" i="1"/>
  <c r="G88" i="1" s="1"/>
  <c r="E38" i="1"/>
  <c r="E88" i="1" s="1"/>
  <c r="C38" i="1"/>
  <c r="C88" i="1" s="1"/>
  <c r="K37" i="1"/>
  <c r="K87" i="1" s="1"/>
  <c r="I37" i="1"/>
  <c r="I87" i="1" s="1"/>
  <c r="G37" i="1"/>
  <c r="G87" i="1" s="1"/>
  <c r="E37" i="1"/>
  <c r="E87" i="1" s="1"/>
  <c r="C37" i="1"/>
  <c r="C87" i="1" s="1"/>
  <c r="K36" i="1"/>
  <c r="K86" i="1" s="1"/>
  <c r="I36" i="1"/>
  <c r="I86" i="1" s="1"/>
  <c r="G36" i="1"/>
  <c r="G86" i="1" s="1"/>
  <c r="E36" i="1"/>
  <c r="E86" i="1" s="1"/>
  <c r="C36" i="1"/>
  <c r="C86" i="1" s="1"/>
  <c r="K35" i="1"/>
  <c r="K85" i="1" s="1"/>
  <c r="I35" i="1"/>
  <c r="I85" i="1" s="1"/>
  <c r="G35" i="1"/>
  <c r="G85" i="1" s="1"/>
  <c r="E35" i="1"/>
  <c r="E85" i="1" s="1"/>
  <c r="C35" i="1"/>
  <c r="C85" i="1" s="1"/>
  <c r="K34" i="1"/>
  <c r="K84" i="1" s="1"/>
  <c r="I34" i="1"/>
  <c r="I84" i="1" s="1"/>
  <c r="G34" i="1"/>
  <c r="G84" i="1" s="1"/>
  <c r="E34" i="1"/>
  <c r="E84" i="1" s="1"/>
  <c r="C34" i="1"/>
  <c r="C84" i="1" s="1"/>
  <c r="K33" i="1"/>
  <c r="K83" i="1" s="1"/>
  <c r="I33" i="1"/>
  <c r="I83" i="1" s="1"/>
  <c r="G33" i="1"/>
  <c r="G83" i="1" s="1"/>
  <c r="E33" i="1"/>
  <c r="E83" i="1" s="1"/>
  <c r="C33" i="1"/>
  <c r="C83" i="1" s="1"/>
  <c r="K32" i="1"/>
  <c r="K82" i="1" s="1"/>
  <c r="I32" i="1"/>
  <c r="I82" i="1" s="1"/>
  <c r="G32" i="1"/>
  <c r="G82" i="1" s="1"/>
  <c r="E32" i="1"/>
  <c r="E82" i="1" s="1"/>
  <c r="C32" i="1"/>
  <c r="C82" i="1" s="1"/>
  <c r="K31" i="1"/>
  <c r="K81" i="1" s="1"/>
  <c r="I31" i="1"/>
  <c r="I81" i="1" s="1"/>
  <c r="G31" i="1"/>
  <c r="G81" i="1" s="1"/>
  <c r="E31" i="1"/>
  <c r="E81" i="1" s="1"/>
  <c r="C31" i="1"/>
  <c r="C81" i="1" s="1"/>
  <c r="K30" i="1"/>
  <c r="K80" i="1" s="1"/>
  <c r="I30" i="1"/>
  <c r="I80" i="1" s="1"/>
  <c r="G30" i="1"/>
  <c r="G80" i="1" s="1"/>
  <c r="E30" i="1"/>
  <c r="E80" i="1" s="1"/>
  <c r="C30" i="1"/>
  <c r="C80" i="1" s="1"/>
  <c r="K29" i="1"/>
  <c r="K79" i="1" s="1"/>
  <c r="I29" i="1"/>
  <c r="I79" i="1" s="1"/>
  <c r="G29" i="1"/>
  <c r="G79" i="1" s="1"/>
  <c r="E29" i="1"/>
  <c r="E79" i="1" s="1"/>
  <c r="C29" i="1"/>
  <c r="C79" i="1" s="1"/>
  <c r="K28" i="1"/>
  <c r="K78" i="1" s="1"/>
  <c r="I28" i="1"/>
  <c r="I78" i="1" s="1"/>
  <c r="G28" i="1"/>
  <c r="G78" i="1" s="1"/>
  <c r="E28" i="1"/>
  <c r="E78" i="1" s="1"/>
  <c r="C28" i="1"/>
  <c r="C78" i="1" s="1"/>
  <c r="K27" i="1"/>
  <c r="K77" i="1" s="1"/>
  <c r="I27" i="1"/>
  <c r="I77" i="1" s="1"/>
  <c r="G27" i="1"/>
  <c r="G77" i="1" s="1"/>
  <c r="E27" i="1"/>
  <c r="E77" i="1" s="1"/>
  <c r="C27" i="1"/>
  <c r="C77" i="1" s="1"/>
</calcChain>
</file>

<file path=xl/sharedStrings.xml><?xml version="1.0" encoding="utf-8"?>
<sst xmlns="http://schemas.openxmlformats.org/spreadsheetml/2006/main" count="82" uniqueCount="47">
  <si>
    <t>Year</t>
  </si>
  <si>
    <t>Children</t>
  </si>
  <si>
    <t>Adults</t>
  </si>
  <si>
    <t>Aged</t>
  </si>
  <si>
    <t>Disabled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</si>
  <si>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</si>
  <si>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</si>
  <si>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</si>
  <si>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</si>
  <si>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</si>
  <si>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</si>
  <si>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</si>
  <si>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</si>
  <si>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</si>
  <si>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</si>
  <si>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</si>
  <si>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</si>
  <si>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</si>
  <si>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</si>
  <si>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</si>
  <si>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</si>
  <si>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</si>
  <si>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</si>
  <si>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</si>
  <si>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</si>
  <si>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 xml:space="preserve"> </t>
  </si>
  <si>
    <t>See footnote at end of table.</t>
  </si>
  <si>
    <t>Table 13.11</t>
  </si>
  <si>
    <t xml:space="preserve">Medicaid Payments per Person Served (Beneficiary), by Eligibility Group: </t>
  </si>
  <si>
    <r>
      <t>1</t>
    </r>
    <r>
      <rPr>
        <sz val="7"/>
        <rFont val="Arial"/>
        <family val="2"/>
      </rPr>
      <t>Includes all eligibility groups reported on the HCFA Form-2082 and the Medicaid Statistical Information System (MSIS), some not shown separately.</t>
    </r>
  </si>
  <si>
    <t xml:space="preserve">Payments, and Services (HCFA 2082), Medicaid Statistical Information System (MSIS), and the personal health care consumption indices from the </t>
  </si>
  <si>
    <r>
      <t xml:space="preserve">Total </t>
    </r>
    <r>
      <rPr>
        <vertAlign val="superscript"/>
        <sz val="8"/>
        <rFont val="Arial"/>
        <family val="2"/>
      </rPr>
      <t>1</t>
    </r>
  </si>
  <si>
    <t>Table 13.11—Continued</t>
  </si>
  <si>
    <t xml:space="preserve">NOTES: Beginning fiscal year 1998, capitated premiums for Medicaid eligibles enrolled in managed care plans were included in this series as a component </t>
  </si>
  <si>
    <t xml:space="preserve">of the total payment per person served (beneficiary). Dollar amounts are adjusted using a personal consumption expenditure index for health care </t>
  </si>
  <si>
    <t xml:space="preserve">revision of the national accounts in July of 2009, BEA introduced a new classification system for Personal Consumption Expenditures (PCE). With </t>
  </si>
  <si>
    <t xml:space="preserve">the new classification system and the release of the comprehensive revision estimates, components of medical care were changed, and the base </t>
  </si>
  <si>
    <t xml:space="preserve">year was updated to the year 2005. PCE health care services now exclude eye exams (currently classified in PCE goods under corrective eyeglasses </t>
  </si>
  <si>
    <t xml:space="preserve">and contact lenses), and net health insurance (now classified under insurance services). As a result of the PCE classification change, all PCE series </t>
  </si>
  <si>
    <t>are excluded from Medicaid.</t>
  </si>
  <si>
    <t xml:space="preserve">were restated for the entire historical period to reflect the new PCE classification structure. Beneficiaries covered under SCHIP and their payments </t>
  </si>
  <si>
    <t>Fiscal Years 1975-2010</t>
  </si>
  <si>
    <t xml:space="preserve"> (Constant 2010 Dollars)</t>
  </si>
  <si>
    <t xml:space="preserve">services, U.S. Department of Commerce, Bureau of Economic Analysis (BEA), expressed in fiscal year 2010 dollars. With the release of the comprehensive </t>
  </si>
  <si>
    <t>U.S. Department of Commerce; data development by the Office of Information Products and Data Analytics.</t>
  </si>
  <si>
    <t xml:space="preserve">      </t>
  </si>
  <si>
    <t xml:space="preserve">SOURCES: Centers for Medicare &amp; Medicaid Services, Center for Medicaid and CHIP Services: Statistical Report on Medical Care: Eligibles, Recipients,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</si>
</sst>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$&quot;#,##0_);\(&quot;$&quot;#,##0\)"/>
    <numFmt numFmtId="43" formatCode="_(* #,##0.00_);_(* \(#,##0.00\);_(* &quot;-&quot;??_);_(@_)"/>
    <numFmt numFmtId="164" formatCode="General_)"/>
    <numFmt numFmtId="165" formatCode="_(* #,##0_);_(* \(#,##0\);_(* &quot;-&quot;??_);_(@_)"/>
    <numFmt numFmtId="166" formatCode="#,##0.0_);\(#,##0.0\)"/>
  </numFmts>
  <fonts count="12" x14ac:knownFonts="1">
    <font>
      <sz val="10"/>
      <name val="Helv"/>
    </font>
    <font>
      <sz val="10"/>
      <name val="Arial"/>
      <family val="2"/>
    </font>
    <font>
      <sz val="7"/>
      <name val="Helv"/>
    </font>
    <font>
      <sz val="9"/>
      <name val="Helv"/>
    </font>
    <font>
      <sz val="8"/>
      <name val="Helv"/>
    </font>
    <font>
      <vertAlign val="superscript"/>
      <sz val="7"/>
      <name val="Arial"/>
      <family val="2"/>
    </font>
    <font>
      <sz val="7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62">
    <xf numFmtId="164" fontId="0" fillId="0" borderId="0" xfId="0"/>
    <xf numFmtId="164" fontId="2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0" fillId="0" borderId="0" xfId="0" applyBorder="1"/>
    <xf numFmtId="164" fontId="3" fillId="0" borderId="0" xfId="0" applyFont="1" applyBorder="1"/>
    <xf numFmtId="164" fontId="0" fillId="0" borderId="0" xfId="0" applyBorder="1" applyAlignment="1">
      <alignment vertical="center"/>
    </xf>
    <xf numFmtId="164" fontId="5" fillId="0" borderId="0" xfId="0" quotePrefix="1" applyNumberFormat="1" applyFont="1" applyBorder="1" applyAlignment="1" applyProtection="1">
      <alignment horizontal="left"/>
    </xf>
    <xf numFmtId="164" fontId="6" fillId="0" borderId="0" xfId="0" applyFont="1" applyBorder="1"/>
    <xf numFmtId="166" fontId="6" fillId="0" borderId="0" xfId="0" applyNumberFormat="1" applyFont="1" applyBorder="1" applyProtection="1"/>
    <xf numFmtId="164" fontId="2" fillId="0" borderId="0" xfId="0" applyFont="1" applyBorder="1"/>
    <xf numFmtId="164" fontId="7" fillId="0" borderId="0" xfId="0" applyNumberFormat="1" applyFont="1" applyBorder="1" applyAlignment="1" applyProtection="1">
      <alignment horizontal="left"/>
    </xf>
    <xf numFmtId="164" fontId="7" fillId="0" borderId="0" xfId="0" applyFont="1" applyBorder="1"/>
    <xf numFmtId="166" fontId="7" fillId="0" borderId="0" xfId="0" applyNumberFormat="1" applyFont="1" applyBorder="1" applyProtection="1"/>
    <xf numFmtId="164" fontId="8" fillId="0" borderId="0" xfId="0" applyFont="1" applyBorder="1"/>
    <xf numFmtId="164" fontId="6" fillId="0" borderId="0" xfId="0" quotePrefix="1" applyFont="1" applyAlignment="1" applyProtection="1">
      <alignment horizontal="left"/>
    </xf>
    <xf numFmtId="164" fontId="6" fillId="0" borderId="0" xfId="0" applyFont="1"/>
    <xf numFmtId="165" fontId="6" fillId="0" borderId="0" xfId="1" applyNumberFormat="1" applyFont="1"/>
    <xf numFmtId="164" fontId="6" fillId="0" borderId="0" xfId="0" applyFont="1" applyAlignment="1" applyProtection="1">
      <alignment horizontal="left"/>
    </xf>
    <xf numFmtId="164" fontId="6" fillId="0" borderId="0" xfId="0" quotePrefix="1" applyFont="1" applyAlignment="1">
      <alignment horizontal="left"/>
    </xf>
    <xf numFmtId="164" fontId="8" fillId="0" borderId="0" xfId="0" applyFont="1"/>
    <xf numFmtId="164" fontId="4" fillId="0" borderId="0" xfId="0" applyFont="1"/>
    <xf numFmtId="164" fontId="4" fillId="0" borderId="0" xfId="0" applyFont="1" applyBorder="1"/>
    <xf numFmtId="164" fontId="9" fillId="0" borderId="0" xfId="0" applyFont="1" applyAlignment="1" applyProtection="1">
      <alignment horizontal="centerContinuous" vertical="top"/>
    </xf>
    <xf numFmtId="164" fontId="9" fillId="0" borderId="0" xfId="0" applyFont="1" applyAlignment="1" applyProtection="1">
      <alignment vertical="top"/>
    </xf>
    <xf numFmtId="164" fontId="9" fillId="0" borderId="0" xfId="0" applyFont="1" applyBorder="1" applyAlignment="1" applyProtection="1">
      <alignment horizontal="centerContinuous" vertical="center"/>
    </xf>
    <xf numFmtId="164" fontId="9" fillId="0" borderId="0" xfId="0" applyFont="1" applyBorder="1" applyAlignment="1" applyProtection="1">
      <alignment vertical="center"/>
    </xf>
    <xf numFmtId="164" fontId="9" fillId="0" borderId="1" xfId="0" applyFont="1" applyBorder="1" applyAlignment="1" applyProtection="1">
      <alignment horizontal="centerContinuous" vertical="center"/>
    </xf>
    <xf numFmtId="164" fontId="8" fillId="0" borderId="0" xfId="0" applyNumberFormat="1" applyFont="1" applyAlignment="1" applyProtection="1">
      <alignment horizontal="left"/>
    </xf>
    <xf numFmtId="164" fontId="8" fillId="0" borderId="0" xfId="0" applyNumberFormat="1" applyFont="1" applyAlignment="1" applyProtection="1">
      <alignment horizontal="center"/>
    </xf>
    <xf numFmtId="164" fontId="8" fillId="0" borderId="0" xfId="0" applyNumberFormat="1" applyFont="1" applyAlignment="1" applyProtection="1">
      <alignment horizontal="right"/>
    </xf>
    <xf numFmtId="164" fontId="8" fillId="0" borderId="2" xfId="0" applyFont="1" applyBorder="1"/>
    <xf numFmtId="164" fontId="8" fillId="0" borderId="3" xfId="0" applyFont="1" applyBorder="1" applyAlignment="1" applyProtection="1">
      <alignment horizontal="left"/>
    </xf>
    <xf numFmtId="164" fontId="8" fillId="0" borderId="3" xfId="0" applyFont="1" applyBorder="1"/>
    <xf numFmtId="5" fontId="8" fillId="0" borderId="3" xfId="0" applyNumberFormat="1" applyFont="1" applyBorder="1" applyProtection="1"/>
    <xf numFmtId="164" fontId="8" fillId="0" borderId="0" xfId="0" applyFont="1" applyAlignment="1" applyProtection="1">
      <alignment horizontal="left"/>
    </xf>
    <xf numFmtId="37" fontId="8" fillId="0" borderId="0" xfId="0" applyNumberFormat="1" applyFont="1" applyProtection="1"/>
    <xf numFmtId="164" fontId="8" fillId="0" borderId="2" xfId="0" applyNumberFormat="1" applyFont="1" applyBorder="1" applyAlignment="1" applyProtection="1">
      <alignment horizontal="left"/>
    </xf>
    <xf numFmtId="164" fontId="8" fillId="0" borderId="2" xfId="0" applyNumberFormat="1" applyFont="1" applyBorder="1" applyAlignment="1" applyProtection="1">
      <alignment horizontal="center"/>
    </xf>
    <xf numFmtId="164" fontId="8" fillId="0" borderId="2" xfId="0" applyNumberFormat="1" applyFont="1" applyBorder="1" applyAlignment="1" applyProtection="1">
      <alignment horizontal="right"/>
    </xf>
    <xf numFmtId="164" fontId="8" fillId="0" borderId="0" xfId="0" applyFont="1" applyBorder="1" applyAlignment="1" applyProtection="1">
      <alignment horizontal="center"/>
    </xf>
    <xf numFmtId="164" fontId="8" fillId="0" borderId="0" xfId="0" applyFont="1" applyBorder="1" applyAlignment="1" applyProtection="1"/>
    <xf numFmtId="5" fontId="8" fillId="0" borderId="0" xfId="1" applyNumberFormat="1" applyFont="1" applyProtection="1"/>
    <xf numFmtId="5" fontId="8" fillId="0" borderId="0" xfId="0" applyNumberFormat="1" applyFont="1" applyAlignment="1" applyProtection="1">
      <alignment horizontal="left"/>
    </xf>
    <xf numFmtId="5" fontId="8" fillId="0" borderId="0" xfId="0" applyNumberFormat="1" applyFont="1" applyProtection="1"/>
    <xf numFmtId="165" fontId="8" fillId="0" borderId="0" xfId="1" applyNumberFormat="1" applyFont="1" applyProtection="1"/>
    <xf numFmtId="165" fontId="8" fillId="0" borderId="0" xfId="1" applyNumberFormat="1" applyFont="1" applyBorder="1" applyProtection="1"/>
    <xf numFmtId="37" fontId="8" fillId="0" borderId="0" xfId="0" applyNumberFormat="1" applyFont="1" applyBorder="1" applyProtection="1"/>
    <xf numFmtId="164" fontId="8" fillId="0" borderId="0" xfId="0" applyFont="1" applyBorder="1" applyAlignment="1" applyProtection="1">
      <alignment horizontal="left"/>
    </xf>
    <xf numFmtId="164" fontId="8" fillId="0" borderId="1" xfId="0" applyFont="1" applyBorder="1" applyAlignment="1" applyProtection="1">
      <alignment horizontal="left"/>
    </xf>
    <xf numFmtId="164" fontId="8" fillId="0" borderId="1" xfId="0" applyFont="1" applyBorder="1"/>
    <xf numFmtId="165" fontId="8" fillId="0" borderId="1" xfId="1" applyNumberFormat="1" applyFont="1" applyBorder="1" applyProtection="1"/>
    <xf numFmtId="37" fontId="8" fillId="0" borderId="1" xfId="0" applyNumberFormat="1" applyFont="1" applyBorder="1" applyProtection="1"/>
    <xf numFmtId="164" fontId="11" fillId="0" borderId="0" xfId="0" applyFont="1"/>
    <xf numFmtId="165" fontId="11" fillId="0" borderId="0" xfId="1" applyNumberFormat="1" applyFont="1"/>
    <xf numFmtId="164" fontId="8" fillId="0" borderId="0" xfId="0" applyFont="1" applyAlignment="1" applyProtection="1">
      <alignment horizontal="left" vertical="center"/>
    </xf>
    <xf numFmtId="164" fontId="8" fillId="0" borderId="0" xfId="0" applyFont="1" applyAlignment="1">
      <alignment vertical="center"/>
    </xf>
    <xf numFmtId="164" fontId="4" fillId="0" borderId="0" xfId="0" applyFont="1" applyAlignment="1">
      <alignment vertical="center"/>
    </xf>
    <xf numFmtId="164" fontId="6" fillId="0" borderId="0" xfId="0" applyNumberFormat="1" applyFont="1" applyAlignment="1" applyProtection="1">
      <alignment horizontal="left" vertical="center"/>
    </xf>
    <xf numFmtId="164" fontId="1" fillId="0" borderId="0" xfId="0" applyFont="1"/>
    <xf numFmtId="164" fontId="9" fillId="0" borderId="0" xfId="0" applyFont="1" applyAlignment="1" applyProtection="1">
      <alignment horizontal="center" vertical="top"/>
    </xf>
    <xf numFmtId="164" fontId="8" fillId="0" borderId="4" xfId="0" applyFont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AA111"/>
  <sheetViews>
    <sheetView showGridLines="0" tabSelected="1" zoomScale="110" zoomScaleNormal="110" workbookViewId="0"/>
  </sheetViews>
  <sheetFormatPr defaultColWidth="9.7109375" defaultRowHeight="12.75" x14ac:dyDescent="0.2"/>
  <cols>
    <col min="1" max="1" width="8.7109375" style="53" customWidth="1"/>
    <col min="2" max="2" width="7.7109375" style="53" customWidth="1"/>
    <col min="3" max="3" width="6.7109375" style="53" customWidth="1"/>
    <col min="4" max="4" width="9.7109375" style="53" customWidth="1"/>
    <col min="5" max="5" width="7" style="53" customWidth="1"/>
    <col min="6" max="6" width="9.7109375" style="53" customWidth="1"/>
    <col min="7" max="7" width="6.7109375" style="53" customWidth="1"/>
    <col min="8" max="8" width="8.7109375" style="53" customWidth="1"/>
    <col min="9" max="9" width="7.7109375" style="53" customWidth="1"/>
    <col min="10" max="10" width="6.7109375" style="53" customWidth="1"/>
    <col min="11" max="11" width="8.7109375" style="53" customWidth="1"/>
    <col min="12" max="12" width="2.7109375" style="53" customWidth="1"/>
  </cols>
  <sheetData>
    <row r="1" spans="1:12" s="2" customFormat="1" ht="15" customHeight="1" x14ac:dyDescent="0.2">
      <c r="A1" s="23" t="s">
        <v>27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4"/>
    </row>
    <row r="2" spans="1:12" s="6" customFormat="1" ht="15" customHeight="1" x14ac:dyDescent="0.2">
      <c r="A2" s="25" t="s">
        <v>28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6"/>
    </row>
    <row r="3" spans="1:12" s="3" customFormat="1" ht="15" customHeight="1" x14ac:dyDescent="0.2">
      <c r="A3" s="27" t="s">
        <v>41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6"/>
    </row>
    <row r="4" spans="1:12" s="21" customFormat="1" ht="13.5" customHeight="1" x14ac:dyDescent="0.2">
      <c r="A4" s="28" t="s">
        <v>0</v>
      </c>
      <c r="B4" s="20"/>
      <c r="C4" s="29" t="s">
        <v>31</v>
      </c>
      <c r="D4" s="20"/>
      <c r="E4" s="29" t="s">
        <v>1</v>
      </c>
      <c r="F4" s="20"/>
      <c r="G4" s="29" t="s">
        <v>2</v>
      </c>
      <c r="H4" s="20"/>
      <c r="I4" s="29" t="s">
        <v>3</v>
      </c>
      <c r="J4" s="20"/>
      <c r="K4" s="30" t="s">
        <v>4</v>
      </c>
      <c r="L4" s="31"/>
    </row>
    <row r="5" spans="1:12" s="21" customFormat="1" ht="12" customHeight="1" x14ac:dyDescent="0.2">
      <c r="A5" s="32" t="s">
        <v>5</v>
      </c>
      <c r="B5" s="33"/>
      <c r="C5" s="34">
        <v>556</v>
      </c>
      <c r="D5" s="33"/>
      <c r="E5" s="34">
        <v>228</v>
      </c>
      <c r="F5" s="33"/>
      <c r="G5" s="34">
        <v>455</v>
      </c>
      <c r="H5" s="33"/>
      <c r="I5" s="34">
        <v>1205</v>
      </c>
      <c r="J5" s="33"/>
      <c r="K5" s="34">
        <v>1276</v>
      </c>
      <c r="L5" s="14"/>
    </row>
    <row r="6" spans="1:12" s="21" customFormat="1" ht="11.1" customHeight="1" x14ac:dyDescent="0.2">
      <c r="A6" s="35" t="s">
        <v>6</v>
      </c>
      <c r="B6" s="20"/>
      <c r="C6" s="36">
        <v>618</v>
      </c>
      <c r="D6" s="20"/>
      <c r="E6" s="36">
        <v>245</v>
      </c>
      <c r="F6" s="20"/>
      <c r="G6" s="36">
        <v>479</v>
      </c>
      <c r="H6" s="20"/>
      <c r="I6" s="36">
        <v>1359</v>
      </c>
      <c r="J6" s="20"/>
      <c r="K6" s="36">
        <v>1469</v>
      </c>
      <c r="L6" s="20"/>
    </row>
    <row r="7" spans="1:12" s="21" customFormat="1" ht="11.1" customHeight="1" x14ac:dyDescent="0.2">
      <c r="A7" s="35" t="s">
        <v>7</v>
      </c>
      <c r="B7" s="20"/>
      <c r="C7" s="36">
        <v>711</v>
      </c>
      <c r="D7" s="20"/>
      <c r="E7" s="36">
        <v>270</v>
      </c>
      <c r="F7" s="20"/>
      <c r="G7" s="36">
        <v>545</v>
      </c>
      <c r="H7" s="20"/>
      <c r="I7" s="36">
        <v>1512</v>
      </c>
      <c r="J7" s="20"/>
      <c r="K7" s="36">
        <v>1743</v>
      </c>
      <c r="L7" s="20"/>
    </row>
    <row r="8" spans="1:12" s="21" customFormat="1" ht="11.1" customHeight="1" x14ac:dyDescent="0.2">
      <c r="A8" s="35" t="s">
        <v>8</v>
      </c>
      <c r="B8" s="20"/>
      <c r="C8" s="36">
        <v>819</v>
      </c>
      <c r="D8" s="20"/>
      <c r="E8" s="36">
        <v>293</v>
      </c>
      <c r="F8" s="20"/>
      <c r="G8" s="36">
        <v>576</v>
      </c>
      <c r="H8" s="20"/>
      <c r="I8" s="36">
        <v>1869</v>
      </c>
      <c r="J8" s="20"/>
      <c r="K8" s="36">
        <v>2068</v>
      </c>
      <c r="L8" s="20"/>
    </row>
    <row r="9" spans="1:12" s="21" customFormat="1" ht="11.1" customHeight="1" x14ac:dyDescent="0.2">
      <c r="A9" s="35" t="s">
        <v>9</v>
      </c>
      <c r="B9" s="20"/>
      <c r="C9" s="36">
        <v>951</v>
      </c>
      <c r="D9" s="20"/>
      <c r="E9" s="36">
        <v>317</v>
      </c>
      <c r="F9" s="20"/>
      <c r="G9" s="36">
        <v>661</v>
      </c>
      <c r="H9" s="20"/>
      <c r="I9" s="36">
        <v>2094</v>
      </c>
      <c r="J9" s="20"/>
      <c r="K9" s="36">
        <v>2500</v>
      </c>
      <c r="L9" s="20"/>
    </row>
    <row r="10" spans="1:12" s="21" customFormat="1" ht="11.1" customHeight="1" x14ac:dyDescent="0.2">
      <c r="A10" s="35" t="s">
        <v>10</v>
      </c>
      <c r="B10" s="20"/>
      <c r="C10" s="36">
        <v>1079</v>
      </c>
      <c r="D10" s="20"/>
      <c r="E10" s="36">
        <v>335</v>
      </c>
      <c r="F10" s="20"/>
      <c r="G10" s="36">
        <v>663</v>
      </c>
      <c r="H10" s="20"/>
      <c r="I10" s="36">
        <v>2540</v>
      </c>
      <c r="J10" s="20"/>
      <c r="K10" s="36">
        <v>2619</v>
      </c>
      <c r="L10" s="20"/>
    </row>
    <row r="11" spans="1:12" s="21" customFormat="1" ht="11.1" customHeight="1" x14ac:dyDescent="0.2">
      <c r="A11" s="35" t="s">
        <v>11</v>
      </c>
      <c r="B11" s="20"/>
      <c r="C11" s="36">
        <v>1238</v>
      </c>
      <c r="D11" s="20"/>
      <c r="E11" s="36">
        <v>366</v>
      </c>
      <c r="F11" s="20"/>
      <c r="G11" s="36">
        <v>725</v>
      </c>
      <c r="H11" s="20"/>
      <c r="I11" s="36">
        <v>2948</v>
      </c>
      <c r="J11" s="20"/>
      <c r="K11" s="36">
        <v>3071</v>
      </c>
      <c r="L11" s="20"/>
    </row>
    <row r="12" spans="1:12" s="21" customFormat="1" ht="11.1" customHeight="1" x14ac:dyDescent="0.2">
      <c r="A12" s="35" t="s">
        <v>12</v>
      </c>
      <c r="B12" s="20"/>
      <c r="C12" s="36">
        <v>1361</v>
      </c>
      <c r="D12" s="20"/>
      <c r="E12" s="36">
        <v>363</v>
      </c>
      <c r="F12" s="20"/>
      <c r="G12" s="36">
        <v>764</v>
      </c>
      <c r="H12" s="20"/>
      <c r="I12" s="36">
        <v>3315</v>
      </c>
      <c r="J12" s="20"/>
      <c r="K12" s="36">
        <v>3600</v>
      </c>
      <c r="L12" s="20"/>
    </row>
    <row r="13" spans="1:12" s="21" customFormat="1" ht="11.1" customHeight="1" x14ac:dyDescent="0.2">
      <c r="A13" s="35" t="s">
        <v>13</v>
      </c>
      <c r="B13" s="20"/>
      <c r="C13" s="36">
        <v>1503</v>
      </c>
      <c r="D13" s="20"/>
      <c r="E13" s="36">
        <v>402</v>
      </c>
      <c r="F13" s="20"/>
      <c r="G13" s="36">
        <v>802</v>
      </c>
      <c r="H13" s="20"/>
      <c r="I13" s="36">
        <v>3545</v>
      </c>
      <c r="J13" s="20"/>
      <c r="K13" s="36">
        <v>3891</v>
      </c>
      <c r="L13" s="20"/>
    </row>
    <row r="14" spans="1:12" s="21" customFormat="1" ht="11.1" customHeight="1" x14ac:dyDescent="0.2">
      <c r="A14" s="35" t="s">
        <v>14</v>
      </c>
      <c r="B14" s="20"/>
      <c r="C14" s="36">
        <v>1569</v>
      </c>
      <c r="D14" s="20"/>
      <c r="E14" s="36">
        <v>411</v>
      </c>
      <c r="F14" s="20"/>
      <c r="G14" s="36">
        <v>789</v>
      </c>
      <c r="H14" s="20"/>
      <c r="I14" s="36">
        <v>3957</v>
      </c>
      <c r="J14" s="20"/>
      <c r="K14" s="36">
        <v>4112</v>
      </c>
      <c r="L14" s="20"/>
    </row>
    <row r="15" spans="1:12" s="21" customFormat="1" ht="11.1" customHeight="1" x14ac:dyDescent="0.2">
      <c r="A15" s="35" t="s">
        <v>15</v>
      </c>
      <c r="B15" s="20"/>
      <c r="C15" s="36">
        <v>1719</v>
      </c>
      <c r="D15" s="20"/>
      <c r="E15" s="36">
        <v>452</v>
      </c>
      <c r="F15" s="20"/>
      <c r="G15" s="36">
        <v>860</v>
      </c>
      <c r="H15" s="20"/>
      <c r="I15" s="36">
        <v>4605</v>
      </c>
      <c r="J15" s="20"/>
      <c r="K15" s="36">
        <v>4459</v>
      </c>
      <c r="L15" s="20"/>
    </row>
    <row r="16" spans="1:12" s="21" customFormat="1" ht="11.1" customHeight="1" x14ac:dyDescent="0.2">
      <c r="A16" s="35" t="s">
        <v>16</v>
      </c>
      <c r="B16" s="20"/>
      <c r="C16" s="36">
        <v>1821</v>
      </c>
      <c r="D16" s="20"/>
      <c r="E16" s="36">
        <v>512</v>
      </c>
      <c r="F16" s="20"/>
      <c r="G16" s="36">
        <v>864</v>
      </c>
      <c r="H16" s="20"/>
      <c r="I16" s="36">
        <v>4808</v>
      </c>
      <c r="J16" s="20"/>
      <c r="K16" s="36">
        <v>4687</v>
      </c>
      <c r="L16" s="20"/>
    </row>
    <row r="17" spans="1:12" s="21" customFormat="1" ht="11.1" customHeight="1" x14ac:dyDescent="0.2">
      <c r="A17" s="35" t="s">
        <v>17</v>
      </c>
      <c r="B17" s="20"/>
      <c r="C17" s="36">
        <v>1949</v>
      </c>
      <c r="D17" s="20"/>
      <c r="E17" s="36">
        <v>542</v>
      </c>
      <c r="F17" s="20"/>
      <c r="G17" s="36">
        <v>999</v>
      </c>
      <c r="H17" s="20"/>
      <c r="I17" s="36">
        <v>4975</v>
      </c>
      <c r="J17" s="20"/>
      <c r="K17" s="36">
        <v>4974</v>
      </c>
      <c r="L17" s="20"/>
    </row>
    <row r="18" spans="1:12" s="21" customFormat="1" ht="11.1" customHeight="1" x14ac:dyDescent="0.2">
      <c r="A18" s="35" t="s">
        <v>18</v>
      </c>
      <c r="B18" s="20"/>
      <c r="C18" s="36">
        <v>2126</v>
      </c>
      <c r="D18" s="20"/>
      <c r="E18" s="36">
        <v>583</v>
      </c>
      <c r="F18" s="20"/>
      <c r="G18" s="36">
        <v>1069</v>
      </c>
      <c r="H18" s="20"/>
      <c r="I18" s="36">
        <v>5425</v>
      </c>
      <c r="J18" s="20"/>
      <c r="K18" s="36">
        <v>5332</v>
      </c>
      <c r="L18" s="20"/>
    </row>
    <row r="19" spans="1:12" s="21" customFormat="1" ht="11.1" customHeight="1" x14ac:dyDescent="0.2">
      <c r="A19" s="35" t="s">
        <v>19</v>
      </c>
      <c r="B19" s="20"/>
      <c r="C19" s="36">
        <v>2318</v>
      </c>
      <c r="D19" s="20"/>
      <c r="E19" s="36">
        <v>668</v>
      </c>
      <c r="F19" s="20"/>
      <c r="G19" s="36">
        <v>1206</v>
      </c>
      <c r="H19" s="20"/>
      <c r="I19" s="36">
        <v>5926</v>
      </c>
      <c r="J19" s="20"/>
      <c r="K19" s="36">
        <v>5817</v>
      </c>
      <c r="L19" s="20"/>
    </row>
    <row r="20" spans="1:12" s="21" customFormat="1" ht="11.1" customHeight="1" x14ac:dyDescent="0.2">
      <c r="A20" s="35" t="s">
        <v>20</v>
      </c>
      <c r="B20" s="20"/>
      <c r="C20" s="36">
        <v>2568</v>
      </c>
      <c r="D20" s="20"/>
      <c r="E20" s="36">
        <v>811</v>
      </c>
      <c r="F20" s="20"/>
      <c r="G20" s="36">
        <v>1429</v>
      </c>
      <c r="H20" s="20"/>
      <c r="I20" s="36">
        <v>6717</v>
      </c>
      <c r="J20" s="20"/>
      <c r="K20" s="36">
        <v>6564</v>
      </c>
      <c r="L20" s="20"/>
    </row>
    <row r="21" spans="1:12" s="21" customFormat="1" ht="11.1" customHeight="1" x14ac:dyDescent="0.2">
      <c r="A21" s="35" t="s">
        <v>21</v>
      </c>
      <c r="B21" s="20"/>
      <c r="C21" s="36">
        <v>2752</v>
      </c>
      <c r="D21" s="20"/>
      <c r="E21" s="36">
        <v>902</v>
      </c>
      <c r="F21" s="20"/>
      <c r="G21" s="36">
        <v>1555</v>
      </c>
      <c r="H21" s="20"/>
      <c r="I21" s="36">
        <v>7617</v>
      </c>
      <c r="J21" s="20"/>
      <c r="K21" s="36">
        <v>7005</v>
      </c>
      <c r="L21" s="20"/>
    </row>
    <row r="22" spans="1:12" s="21" customFormat="1" ht="11.1" customHeight="1" x14ac:dyDescent="0.2">
      <c r="A22" s="35" t="s">
        <v>22</v>
      </c>
      <c r="B22" s="20"/>
      <c r="C22" s="36">
        <v>2937</v>
      </c>
      <c r="D22" s="20"/>
      <c r="E22" s="36">
        <v>971</v>
      </c>
      <c r="F22" s="20"/>
      <c r="G22" s="36">
        <v>1762</v>
      </c>
      <c r="H22" s="20"/>
      <c r="I22" s="36">
        <v>7759</v>
      </c>
      <c r="J22" s="20"/>
      <c r="K22" s="36">
        <v>7578</v>
      </c>
      <c r="L22" s="20"/>
    </row>
    <row r="23" spans="1:12" s="21" customFormat="1" ht="11.1" customHeight="1" x14ac:dyDescent="0.2">
      <c r="A23" s="35" t="s">
        <v>23</v>
      </c>
      <c r="B23" s="20"/>
      <c r="C23" s="36">
        <v>3042</v>
      </c>
      <c r="D23" s="36"/>
      <c r="E23" s="36">
        <v>1013</v>
      </c>
      <c r="F23" s="36"/>
      <c r="G23" s="36">
        <v>1813</v>
      </c>
      <c r="H23" s="36"/>
      <c r="I23" s="36">
        <v>8168</v>
      </c>
      <c r="J23" s="36"/>
      <c r="K23" s="36">
        <v>7706</v>
      </c>
      <c r="L23" s="20"/>
    </row>
    <row r="24" spans="1:12" s="21" customFormat="1" ht="11.1" customHeight="1" x14ac:dyDescent="0.2">
      <c r="A24" s="35" t="s">
        <v>24</v>
      </c>
      <c r="B24" s="20"/>
      <c r="C24" s="36">
        <v>3089</v>
      </c>
      <c r="D24" s="36"/>
      <c r="E24" s="36">
        <v>1006</v>
      </c>
      <c r="F24" s="36"/>
      <c r="G24" s="36">
        <v>1791</v>
      </c>
      <c r="H24" s="36"/>
      <c r="I24" s="36">
        <v>8332</v>
      </c>
      <c r="J24" s="36"/>
      <c r="K24" s="36">
        <v>7750</v>
      </c>
      <c r="L24" s="36"/>
    </row>
    <row r="25" spans="1:12" s="21" customFormat="1" ht="11.1" customHeight="1" x14ac:dyDescent="0.2">
      <c r="A25" s="35">
        <v>1995</v>
      </c>
      <c r="B25" s="20"/>
      <c r="C25" s="36">
        <v>3311</v>
      </c>
      <c r="D25" s="36"/>
      <c r="E25" s="36">
        <v>1047</v>
      </c>
      <c r="F25" s="36"/>
      <c r="G25" s="36">
        <v>1777</v>
      </c>
      <c r="H25" s="36"/>
      <c r="I25" s="36">
        <v>8868</v>
      </c>
      <c r="J25" s="36"/>
      <c r="K25" s="36">
        <v>8435</v>
      </c>
      <c r="L25" s="36"/>
    </row>
    <row r="26" spans="1:12" s="21" customFormat="1" ht="11.1" customHeight="1" x14ac:dyDescent="0.2">
      <c r="A26" s="35">
        <v>1996</v>
      </c>
      <c r="B26" s="20"/>
      <c r="C26" s="36">
        <v>3369</v>
      </c>
      <c r="D26" s="36"/>
      <c r="E26" s="36">
        <v>1048</v>
      </c>
      <c r="F26" s="36"/>
      <c r="G26" s="36">
        <v>1722</v>
      </c>
      <c r="H26" s="36"/>
      <c r="I26" s="36">
        <v>8622</v>
      </c>
      <c r="J26" s="36"/>
      <c r="K26" s="36">
        <v>8369</v>
      </c>
      <c r="L26" s="36"/>
    </row>
    <row r="27" spans="1:12" s="21" customFormat="1" ht="11.1" customHeight="1" x14ac:dyDescent="0.2">
      <c r="A27" s="35">
        <v>1997</v>
      </c>
      <c r="B27" s="20"/>
      <c r="C27" s="36">
        <f>124429756495/34872275</f>
        <v>3568.1571246785593</v>
      </c>
      <c r="D27" s="36" t="s">
        <v>25</v>
      </c>
      <c r="E27" s="36">
        <f>17543903669/15790671</f>
        <v>1111.029649658333</v>
      </c>
      <c r="F27" s="36" t="s">
        <v>25</v>
      </c>
      <c r="G27" s="36">
        <f>12307238768/6802948</f>
        <v>1809.1037544311671</v>
      </c>
      <c r="H27" s="36"/>
      <c r="I27" s="36">
        <f>37721436303/3954768</f>
        <v>9538.2172362576002</v>
      </c>
      <c r="J27" s="36" t="s">
        <v>25</v>
      </c>
      <c r="K27" s="36">
        <f>54130400684/6129102</f>
        <v>8831.7017213940962</v>
      </c>
      <c r="L27" s="36"/>
    </row>
    <row r="28" spans="1:12" s="21" customFormat="1" ht="11.1" customHeight="1" x14ac:dyDescent="0.2">
      <c r="A28" s="35">
        <v>1998</v>
      </c>
      <c r="B28" s="20"/>
      <c r="C28" s="36">
        <f>142259878609/40096169</f>
        <v>3547.9668546139656</v>
      </c>
      <c r="D28" s="36"/>
      <c r="E28" s="36">
        <f>22896092347/18969125</f>
        <v>1207.0188976560596</v>
      </c>
      <c r="F28" s="36"/>
      <c r="G28" s="36">
        <f>14864732458/7895446</f>
        <v>1882.6969949512668</v>
      </c>
      <c r="H28" s="36"/>
      <c r="I28" s="36">
        <f>40601408616/3963664</f>
        <v>10243.403228931615</v>
      </c>
      <c r="J28" s="36" t="s">
        <v>25</v>
      </c>
      <c r="K28" s="36">
        <f>60373521754/6637294</f>
        <v>9096.1047911995465</v>
      </c>
      <c r="L28" s="36"/>
    </row>
    <row r="29" spans="1:12" s="21" customFormat="1" ht="11.1" customHeight="1" x14ac:dyDescent="0.2">
      <c r="A29" s="35">
        <v>1999</v>
      </c>
      <c r="B29" s="20"/>
      <c r="C29" s="36">
        <f>153479357882/40184407</f>
        <v>3819.375955504333</v>
      </c>
      <c r="D29" s="36"/>
      <c r="E29" s="36">
        <f>24151236446/18836970</f>
        <v>1282.1189631878162</v>
      </c>
      <c r="F29" s="36"/>
      <c r="G29" s="36">
        <f>15801202536/7510735</f>
        <v>2103.8157431995669</v>
      </c>
      <c r="H29" s="36"/>
      <c r="I29" s="36">
        <f>42521620708/3773532</f>
        <v>11268.387470412335</v>
      </c>
      <c r="J29" s="36"/>
      <c r="K29" s="36">
        <f>65849549697/6697764</f>
        <v>9831.5721033168684</v>
      </c>
      <c r="L29" s="36"/>
    </row>
    <row r="30" spans="1:12" s="21" customFormat="1" ht="11.1" customHeight="1" x14ac:dyDescent="0.2">
      <c r="A30" s="35">
        <v>2000</v>
      </c>
      <c r="B30" s="20"/>
      <c r="C30" s="36">
        <f>168307231426/42763233</f>
        <v>3935.7929608830091</v>
      </c>
      <c r="D30" s="36"/>
      <c r="E30" s="36">
        <f>26774664587/19723045</f>
        <v>1357.531993006151</v>
      </c>
      <c r="F30" s="36"/>
      <c r="G30" s="36">
        <f>17762792055/8749630</f>
        <v>2030.1192227557051</v>
      </c>
      <c r="H30" s="36"/>
      <c r="I30" s="36">
        <f>44503184188/3730827</f>
        <v>11928.503837889026</v>
      </c>
      <c r="J30" s="36"/>
      <c r="K30" s="36">
        <f>72741603714/6888874</f>
        <v>10559.287876944767</v>
      </c>
      <c r="L30" s="36"/>
    </row>
    <row r="31" spans="1:12" s="21" customFormat="1" ht="11.1" customHeight="1" x14ac:dyDescent="0.2">
      <c r="A31" s="35">
        <v>2001</v>
      </c>
      <c r="B31" s="20"/>
      <c r="C31" s="36">
        <f>186905000781/45765692</f>
        <v>4083.954434273604</v>
      </c>
      <c r="D31" s="36"/>
      <c r="E31" s="36">
        <f>30635741249/21064244</f>
        <v>1454.3954793250591</v>
      </c>
      <c r="F31" s="36"/>
      <c r="G31" s="36">
        <f>20169989957/9758338</f>
        <v>2066.9493060191194</v>
      </c>
      <c r="H31" s="36"/>
      <c r="I31" s="36">
        <f>48356432218/3810378</f>
        <v>12690.717881008131</v>
      </c>
      <c r="J31" s="36"/>
      <c r="K31" s="36">
        <f>80386047155/7107219</f>
        <v>11310.478424120602</v>
      </c>
      <c r="L31" s="36"/>
    </row>
    <row r="32" spans="1:12" s="21" customFormat="1" ht="11.1" customHeight="1" x14ac:dyDescent="0.2">
      <c r="A32" s="35">
        <v>2002</v>
      </c>
      <c r="B32" s="20"/>
      <c r="C32" s="36">
        <f>213496606630/49328625</f>
        <v>4328.0469834705509</v>
      </c>
      <c r="D32" s="36"/>
      <c r="E32" s="36">
        <f>35890359880/23227200</f>
        <v>1545.1866725218708</v>
      </c>
      <c r="F32" s="36"/>
      <c r="G32" s="36">
        <f>23635057822/11255079</f>
        <v>2099.9459730136055</v>
      </c>
      <c r="H32" s="36"/>
      <c r="I32" s="36">
        <f>51923752294/3886706</f>
        <v>13359.320796067415</v>
      </c>
      <c r="J32" s="36"/>
      <c r="K32" s="36">
        <f>92413632363/7407718</f>
        <v>12475.317278951494</v>
      </c>
      <c r="L32" s="36"/>
    </row>
    <row r="33" spans="1:12" s="21" customFormat="1" ht="11.1" customHeight="1" x14ac:dyDescent="0.2">
      <c r="A33" s="35">
        <v>2003</v>
      </c>
      <c r="B33" s="20"/>
      <c r="C33" s="36">
        <f>233205998192/51971173</f>
        <v>4487.218292956366</v>
      </c>
      <c r="D33" s="36"/>
      <c r="E33" s="36">
        <f>39870763353/24831190</f>
        <v>1605.6726783130409</v>
      </c>
      <c r="F33" s="36"/>
      <c r="G33" s="36">
        <f>26799584882/11691086</f>
        <v>2292.3092758020939</v>
      </c>
      <c r="H33" s="36"/>
      <c r="I33" s="36">
        <f>55270538896/4040998</f>
        <v>13677.447723557398</v>
      </c>
      <c r="J33" s="36"/>
      <c r="K33" s="36">
        <f>102013772972/7668562</f>
        <v>13302.855603436472</v>
      </c>
      <c r="L33" s="36"/>
    </row>
    <row r="34" spans="1:12" s="21" customFormat="1" ht="11.1" customHeight="1" x14ac:dyDescent="0.2">
      <c r="A34" s="35">
        <v>2004</v>
      </c>
      <c r="B34" s="20"/>
      <c r="C34" s="36">
        <f>257748435309/55002107</f>
        <v>4686.1556650729763</v>
      </c>
      <c r="D34" s="36"/>
      <c r="E34" s="36">
        <f>44204834742/26459023</f>
        <v>1670.6903630568672</v>
      </c>
      <c r="F34" s="36"/>
      <c r="G34" s="36">
        <f>30720502758/12244425</f>
        <v>2508.9379662989481</v>
      </c>
      <c r="H34" s="36"/>
      <c r="I34" s="36">
        <f>59541456809/4317804</f>
        <v>13789.754423544931</v>
      </c>
      <c r="J34" s="36"/>
      <c r="K34" s="36">
        <f>111613968265/7932729</f>
        <v>14070.059403894928</v>
      </c>
      <c r="L34" s="36"/>
    </row>
    <row r="35" spans="1:12" s="21" customFormat="1" ht="11.1" customHeight="1" x14ac:dyDescent="0.2">
      <c r="A35" s="35">
        <v>2005</v>
      </c>
      <c r="B35" s="20"/>
      <c r="C35" s="36">
        <f>273202750172/57349022</f>
        <v>4763.8606665689958</v>
      </c>
      <c r="D35" s="36"/>
      <c r="E35" s="36">
        <f>46846073176/27096133</f>
        <v>1728.884087482151</v>
      </c>
      <c r="F35" s="36"/>
      <c r="G35" s="36">
        <f>32214665932/12461147</f>
        <v>2585.2087237234259</v>
      </c>
      <c r="H35" s="36"/>
      <c r="I35" s="36">
        <f>62929039209/4369608</f>
        <v>14401.529658724536</v>
      </c>
      <c r="J35" s="36"/>
      <c r="K35" s="36">
        <f>118683158532/8164987</f>
        <v>14535.621248631503</v>
      </c>
      <c r="L35" s="36"/>
    </row>
    <row r="36" spans="1:12" s="21" customFormat="1" ht="11.1" customHeight="1" x14ac:dyDescent="0.2">
      <c r="A36" s="35">
        <v>2006</v>
      </c>
      <c r="B36" s="20"/>
      <c r="C36" s="36">
        <f>265048888075/57180890</f>
        <v>4635.2704212019089</v>
      </c>
      <c r="D36" s="36"/>
      <c r="E36" s="36">
        <f>49611566370/27437862</f>
        <v>1808.1425721144017</v>
      </c>
      <c r="F36" s="36"/>
      <c r="G36" s="36">
        <f>32682314388/12489750</f>
        <v>2616.7308703536901</v>
      </c>
      <c r="H36" s="36"/>
      <c r="I36" s="36">
        <f>57456964053/4330338</f>
        <v>13268.470972242814</v>
      </c>
      <c r="J36" s="36"/>
      <c r="K36" s="36">
        <f>114745349870/8253588</f>
        <v>13902.480941621996</v>
      </c>
      <c r="L36" s="36"/>
    </row>
    <row r="37" spans="1:12" s="21" customFormat="1" ht="11.1" customHeight="1" x14ac:dyDescent="0.2">
      <c r="A37" s="35">
        <v>2007</v>
      </c>
      <c r="B37" s="20"/>
      <c r="C37" s="36">
        <f>276246429453/56820750</f>
        <v>4861.7174087459243</v>
      </c>
      <c r="D37" s="36"/>
      <c r="E37" s="36">
        <f>53716279932/27526869</f>
        <v>1951.41263367076</v>
      </c>
      <c r="F37" s="36"/>
      <c r="G37" s="36">
        <f>34153220739/12405352</f>
        <v>2753.103719991178</v>
      </c>
      <c r="H37" s="36"/>
      <c r="I37" s="36">
        <f>57179292164/4043618</f>
        <v>14140.626578475019</v>
      </c>
      <c r="J37" s="36"/>
      <c r="K37" s="36">
        <f>119616515997/8427192</f>
        <v>14194.113056519895</v>
      </c>
      <c r="L37" s="36"/>
    </row>
    <row r="38" spans="1:12" s="21" customFormat="1" ht="11.1" customHeight="1" x14ac:dyDescent="0.2">
      <c r="A38" s="35">
        <v>2008</v>
      </c>
      <c r="B38" s="20"/>
      <c r="C38" s="36">
        <f>296829612488/58770540</f>
        <v>5050.6531416590697</v>
      </c>
      <c r="D38" s="36"/>
      <c r="E38" s="36">
        <f>57136620526/28071065</f>
        <v>2035.4276022658919</v>
      </c>
      <c r="F38" s="36"/>
      <c r="G38" s="36">
        <f>37697615209/12947079</f>
        <v>2911.6695131774509</v>
      </c>
      <c r="H38" s="36"/>
      <c r="I38" s="36">
        <f>61130792854/4146833</f>
        <v>14741.561296054122</v>
      </c>
      <c r="J38" s="36"/>
      <c r="K38" s="36">
        <f>129039649346/8693801</f>
        <v>14842.719467123759</v>
      </c>
      <c r="L38" s="36"/>
    </row>
    <row r="39" spans="1:12" s="57" customFormat="1" ht="11.1" customHeight="1" x14ac:dyDescent="0.2">
      <c r="A39" s="35">
        <v>2009</v>
      </c>
      <c r="B39" s="20"/>
      <c r="C39" s="36">
        <f>325818622367/62362956</f>
        <v>5224.553858014684</v>
      </c>
      <c r="D39" s="36"/>
      <c r="E39" s="36">
        <f>64022018349/29848423</f>
        <v>2144.9045515402941</v>
      </c>
      <c r="F39" s="36"/>
      <c r="G39" s="36">
        <f>45422800957/14447006</f>
        <v>3144.0978813880192</v>
      </c>
      <c r="H39" s="36"/>
      <c r="I39" s="36">
        <f>64331858656/4194604</f>
        <v>15336.813357351493</v>
      </c>
      <c r="J39" s="36"/>
      <c r="K39" s="36">
        <f>141596483252/9036364</f>
        <v>15669.630312811658</v>
      </c>
      <c r="L39" s="56"/>
    </row>
    <row r="40" spans="1:12" s="21" customFormat="1" ht="10.15" customHeight="1" x14ac:dyDescent="0.2">
      <c r="A40" s="35">
        <v>2010</v>
      </c>
      <c r="B40" s="20"/>
      <c r="C40" s="36">
        <f>338405842872/65182094</f>
        <v>5191.6994699802062</v>
      </c>
      <c r="D40" s="36"/>
      <c r="E40" s="36">
        <f>67207046992/31568444</f>
        <v>2128.9312514737817</v>
      </c>
      <c r="F40" s="36"/>
      <c r="G40" s="36">
        <f>48211234252/15539760</f>
        <v>3102.443940704361</v>
      </c>
      <c r="H40" s="36"/>
      <c r="I40" s="36">
        <f>65717011302/4284345</f>
        <v>15338.870072788255</v>
      </c>
      <c r="J40" s="36"/>
      <c r="K40" s="36">
        <f>147097518680/9338355</f>
        <v>15751.973305791009</v>
      </c>
      <c r="L40" s="20"/>
    </row>
    <row r="41" spans="1:12" s="21" customFormat="1" ht="10.15" customHeight="1" x14ac:dyDescent="0.2">
      <c r="A41" s="55" t="s">
        <v>26</v>
      </c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</row>
    <row r="42" spans="1:12" s="21" customFormat="1" ht="10.15" customHeight="1" x14ac:dyDescent="0.2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</row>
    <row r="43" spans="1:12" s="21" customFormat="1" ht="10.15" customHeight="1" x14ac:dyDescent="0.2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</row>
    <row r="44" spans="1:12" s="21" customFormat="1" ht="10.15" customHeight="1" x14ac:dyDescent="0.2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</row>
    <row r="45" spans="1:12" s="21" customFormat="1" ht="10.15" customHeight="1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</row>
    <row r="46" spans="1:12" s="21" customFormat="1" ht="10.15" customHeight="1" x14ac:dyDescent="0.2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</row>
    <row r="47" spans="1:12" s="21" customFormat="1" ht="10.15" customHeight="1" x14ac:dyDescent="0.2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</row>
    <row r="48" spans="1:12" s="21" customFormat="1" ht="10.15" customHeight="1" x14ac:dyDescent="0.2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</row>
    <row r="49" spans="1:13" s="21" customFormat="1" ht="10.15" customHeight="1" x14ac:dyDescent="0.2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</row>
    <row r="50" spans="1:13" s="2" customFormat="1" ht="15" customHeight="1" x14ac:dyDescent="0.2">
      <c r="A50" s="60" t="s">
        <v>32</v>
      </c>
      <c r="B50" s="60"/>
      <c r="C50" s="60"/>
      <c r="D50" s="60"/>
      <c r="E50" s="60"/>
      <c r="F50" s="60"/>
      <c r="G50" s="60"/>
      <c r="H50" s="60"/>
      <c r="I50" s="60"/>
      <c r="J50" s="60"/>
      <c r="K50" s="60"/>
      <c r="L50" s="60"/>
    </row>
    <row r="51" spans="1:13" s="6" customFormat="1" ht="15" customHeight="1" x14ac:dyDescent="0.2">
      <c r="A51" s="25" t="s">
        <v>28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6"/>
    </row>
    <row r="52" spans="1:13" s="3" customFormat="1" ht="15" customHeight="1" x14ac:dyDescent="0.2">
      <c r="A52" s="25" t="s">
        <v>41</v>
      </c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6"/>
    </row>
    <row r="53" spans="1:13" s="22" customFormat="1" ht="15" customHeight="1" x14ac:dyDescent="0.2">
      <c r="A53" s="37" t="s">
        <v>0</v>
      </c>
      <c r="B53" s="31"/>
      <c r="C53" s="38" t="s">
        <v>31</v>
      </c>
      <c r="D53" s="31"/>
      <c r="E53" s="38" t="s">
        <v>1</v>
      </c>
      <c r="F53" s="31"/>
      <c r="G53" s="38" t="s">
        <v>2</v>
      </c>
      <c r="H53" s="31"/>
      <c r="I53" s="38" t="s">
        <v>3</v>
      </c>
      <c r="J53" s="31"/>
      <c r="K53" s="39" t="s">
        <v>4</v>
      </c>
      <c r="L53" s="31"/>
    </row>
    <row r="54" spans="1:13" s="21" customFormat="1" ht="11.25" customHeight="1" x14ac:dyDescent="0.2">
      <c r="A54" s="20"/>
      <c r="B54" s="40"/>
      <c r="C54" s="61" t="s">
        <v>42</v>
      </c>
      <c r="D54" s="61"/>
      <c r="E54" s="61"/>
      <c r="F54" s="61"/>
      <c r="G54" s="61"/>
      <c r="H54" s="61"/>
      <c r="I54" s="61"/>
      <c r="J54" s="61"/>
      <c r="K54" s="61"/>
      <c r="L54" s="41"/>
      <c r="M54" s="22"/>
    </row>
    <row r="55" spans="1:13" s="21" customFormat="1" ht="11.1" customHeight="1" x14ac:dyDescent="0.2">
      <c r="A55" s="35" t="s">
        <v>5</v>
      </c>
      <c r="B55" s="20"/>
      <c r="C55" s="42">
        <f>C5/0.13923</f>
        <v>3993.3922286863467</v>
      </c>
      <c r="D55" s="43" t="s">
        <v>25</v>
      </c>
      <c r="E55" s="42">
        <f>E5/0.13923</f>
        <v>1637.5781081663436</v>
      </c>
      <c r="F55" s="43" t="s">
        <v>25</v>
      </c>
      <c r="G55" s="42">
        <f>G5/0.13923</f>
        <v>3267.9738562091507</v>
      </c>
      <c r="H55" s="43" t="s">
        <v>25</v>
      </c>
      <c r="I55" s="42">
        <f>I5/0.13923</f>
        <v>8654.7439488615964</v>
      </c>
      <c r="J55" s="43" t="s">
        <v>25</v>
      </c>
      <c r="K55" s="42">
        <f>K5/0.13923</f>
        <v>9164.6915176326947</v>
      </c>
      <c r="L55" s="44"/>
    </row>
    <row r="56" spans="1:13" s="21" customFormat="1" ht="11.1" customHeight="1" x14ac:dyDescent="0.2">
      <c r="A56" s="35" t="s">
        <v>6</v>
      </c>
      <c r="B56" s="20"/>
      <c r="C56" s="45">
        <f>C6/0.15326</f>
        <v>4032.3633041889598</v>
      </c>
      <c r="D56" s="20"/>
      <c r="E56" s="45">
        <f>E6/0.15326</f>
        <v>1598.5906303014485</v>
      </c>
      <c r="F56" s="20"/>
      <c r="G56" s="45">
        <f>G6/0.15326</f>
        <v>3125.4078037322197</v>
      </c>
      <c r="H56" s="20"/>
      <c r="I56" s="45">
        <f>I6/0.15326</f>
        <v>8867.2843533864016</v>
      </c>
      <c r="J56" s="20"/>
      <c r="K56" s="45">
        <f>K6/0.15326</f>
        <v>9585.0189220931752</v>
      </c>
      <c r="L56" s="20"/>
    </row>
    <row r="57" spans="1:13" s="21" customFormat="1" ht="11.1" customHeight="1" x14ac:dyDescent="0.2">
      <c r="A57" s="35" t="s">
        <v>7</v>
      </c>
      <c r="B57" s="20"/>
      <c r="C57" s="45">
        <f>C7/0.16632</f>
        <v>4274.8917748917747</v>
      </c>
      <c r="D57" s="20"/>
      <c r="E57" s="45">
        <f>E7/0.16632</f>
        <v>1623.3766233766235</v>
      </c>
      <c r="F57" s="20"/>
      <c r="G57" s="45">
        <f>G7/0.16632</f>
        <v>3276.8157768157771</v>
      </c>
      <c r="H57" s="20"/>
      <c r="I57" s="45">
        <f>I7/0.16632</f>
        <v>9090.9090909090919</v>
      </c>
      <c r="J57" s="20"/>
      <c r="K57" s="45">
        <f>K7/0.16632</f>
        <v>10479.797979797981</v>
      </c>
      <c r="L57" s="20"/>
    </row>
    <row r="58" spans="1:13" s="21" customFormat="1" ht="11.1" customHeight="1" x14ac:dyDescent="0.2">
      <c r="A58" s="35" t="s">
        <v>8</v>
      </c>
      <c r="B58" s="20"/>
      <c r="C58" s="45">
        <f>C8/0.1797</f>
        <v>4557.5959933222039</v>
      </c>
      <c r="D58" s="20"/>
      <c r="E58" s="45">
        <f>E8/0.1797</f>
        <v>1630.4952698942682</v>
      </c>
      <c r="F58" s="20"/>
      <c r="G58" s="45">
        <f>G8/0.1797</f>
        <v>3205.3422370617695</v>
      </c>
      <c r="H58" s="20"/>
      <c r="I58" s="45">
        <f>I8/0.1797</f>
        <v>10400.667779632722</v>
      </c>
      <c r="J58" s="20"/>
      <c r="K58" s="45">
        <f>K8/0.1797</f>
        <v>11508.069003895382</v>
      </c>
      <c r="L58" s="20"/>
    </row>
    <row r="59" spans="1:13" s="21" customFormat="1" ht="11.1" customHeight="1" x14ac:dyDescent="0.2">
      <c r="A59" s="35" t="s">
        <v>9</v>
      </c>
      <c r="B59" s="20"/>
      <c r="C59" s="45">
        <f>C9/0.19709</f>
        <v>4825.2067583337566</v>
      </c>
      <c r="D59" s="36"/>
      <c r="E59" s="45">
        <f>E9/0.19709</f>
        <v>1608.4022527779189</v>
      </c>
      <c r="F59" s="36"/>
      <c r="G59" s="45">
        <f>G9/0.19709</f>
        <v>3353.7977573697299</v>
      </c>
      <c r="H59" s="36"/>
      <c r="I59" s="45">
        <f>I9/0.19709</f>
        <v>10624.587751788524</v>
      </c>
      <c r="J59" s="36"/>
      <c r="K59" s="45">
        <f>K9/0.19709</f>
        <v>12684.56035313816</v>
      </c>
      <c r="L59" s="36"/>
    </row>
    <row r="60" spans="1:13" s="21" customFormat="1" ht="11.1" customHeight="1" x14ac:dyDescent="0.2">
      <c r="A60" s="35" t="s">
        <v>10</v>
      </c>
      <c r="B60" s="20"/>
      <c r="C60" s="45">
        <f>C10/0.21939</f>
        <v>4918.1822325538997</v>
      </c>
      <c r="D60" s="36"/>
      <c r="E60" s="45">
        <f>E10/0.21939</f>
        <v>1526.9611194676147</v>
      </c>
      <c r="F60" s="36"/>
      <c r="G60" s="45">
        <f>G10/0.21939</f>
        <v>3022.0155886776975</v>
      </c>
      <c r="H60" s="36"/>
      <c r="I60" s="45">
        <f>I10/0.21939</f>
        <v>11577.555950590273</v>
      </c>
      <c r="J60" s="36"/>
      <c r="K60" s="45">
        <f>K10/0.21939</f>
        <v>11937.645289210994</v>
      </c>
      <c r="L60" s="36"/>
    </row>
    <row r="61" spans="1:13" s="21" customFormat="1" ht="11.1" customHeight="1" x14ac:dyDescent="0.2">
      <c r="A61" s="35" t="s">
        <v>11</v>
      </c>
      <c r="B61" s="20"/>
      <c r="C61" s="45">
        <f>C11/0.24644</f>
        <v>5023.5351403992863</v>
      </c>
      <c r="D61" s="36"/>
      <c r="E61" s="45">
        <f>E11/0.24644</f>
        <v>1485.1485148514853</v>
      </c>
      <c r="F61" s="36"/>
      <c r="G61" s="45">
        <f>G11/0.24644</f>
        <v>2941.892549910729</v>
      </c>
      <c r="H61" s="36"/>
      <c r="I61" s="45">
        <f>I11/0.24644</f>
        <v>11962.343775361143</v>
      </c>
      <c r="J61" s="36"/>
      <c r="K61" s="45">
        <f>K11/0.24644</f>
        <v>12461.4510631391</v>
      </c>
      <c r="L61" s="36"/>
    </row>
    <row r="62" spans="1:13" s="21" customFormat="1" ht="11.1" customHeight="1" x14ac:dyDescent="0.2">
      <c r="A62" s="35" t="s">
        <v>12</v>
      </c>
      <c r="B62" s="20"/>
      <c r="C62" s="45">
        <f>C12/0.27567</f>
        <v>4937.0624297166896</v>
      </c>
      <c r="D62" s="36"/>
      <c r="E62" s="45">
        <f>E12/0.27567</f>
        <v>1316.7918163021002</v>
      </c>
      <c r="F62" s="36"/>
      <c r="G62" s="45">
        <f>G12/0.27567</f>
        <v>2771.4296078644752</v>
      </c>
      <c r="H62" s="36"/>
      <c r="I62" s="45">
        <f>I12/0.27567</f>
        <v>12025.247578626617</v>
      </c>
      <c r="J62" s="36"/>
      <c r="K62" s="45">
        <f>K12/0.27567</f>
        <v>13059.092393078679</v>
      </c>
      <c r="L62" s="36"/>
    </row>
    <row r="63" spans="1:13" s="21" customFormat="1" ht="11.1" customHeight="1" x14ac:dyDescent="0.2">
      <c r="A63" s="35" t="s">
        <v>13</v>
      </c>
      <c r="B63" s="20"/>
      <c r="C63" s="45">
        <f>C13/0.30192</f>
        <v>4978.1399046104925</v>
      </c>
      <c r="D63" s="36"/>
      <c r="E63" s="45">
        <f>E13/0.30192</f>
        <v>1331.4785373608902</v>
      </c>
      <c r="F63" s="36"/>
      <c r="G63" s="45">
        <f>G13/0.30192</f>
        <v>2656.3328033916268</v>
      </c>
      <c r="H63" s="36"/>
      <c r="I63" s="45">
        <f>I13/0.30192</f>
        <v>11741.520932697402</v>
      </c>
      <c r="J63" s="36"/>
      <c r="K63" s="45">
        <f>K13/0.30192</f>
        <v>12887.519872813989</v>
      </c>
      <c r="L63" s="36"/>
    </row>
    <row r="64" spans="1:13" s="21" customFormat="1" ht="11.1" customHeight="1" x14ac:dyDescent="0.2">
      <c r="A64" s="35" t="s">
        <v>14</v>
      </c>
      <c r="B64" s="20"/>
      <c r="C64" s="45">
        <f>C14/0.32592</f>
        <v>4814.0648011782032</v>
      </c>
      <c r="D64" s="36"/>
      <c r="E64" s="45">
        <f>E14/0.32592</f>
        <v>1261.0456553755523</v>
      </c>
      <c r="F64" s="36"/>
      <c r="G64" s="45">
        <f>G14/0.32592</f>
        <v>2420.8394698085422</v>
      </c>
      <c r="H64" s="36"/>
      <c r="I64" s="45">
        <f>I14/0.32592</f>
        <v>12141.016200294551</v>
      </c>
      <c r="J64" s="36"/>
      <c r="K64" s="45">
        <f>K14/0.32592</f>
        <v>12616.593028964164</v>
      </c>
      <c r="L64" s="36"/>
    </row>
    <row r="65" spans="1:12" s="21" customFormat="1" ht="11.1" customHeight="1" x14ac:dyDescent="0.2">
      <c r="A65" s="35" t="s">
        <v>15</v>
      </c>
      <c r="B65" s="20"/>
      <c r="C65" s="45">
        <f>C15/0.3465</f>
        <v>4961.0389610389611</v>
      </c>
      <c r="D65" s="36"/>
      <c r="E65" s="45">
        <f>E15/0.3465</f>
        <v>1304.4733044733046</v>
      </c>
      <c r="F65" s="36"/>
      <c r="G65" s="45">
        <f>G15/0.3465</f>
        <v>2481.9624819624823</v>
      </c>
      <c r="H65" s="36"/>
      <c r="I65" s="45">
        <f>I15/0.3465</f>
        <v>13290.043290043292</v>
      </c>
      <c r="J65" s="36"/>
      <c r="K65" s="45">
        <f>K15/0.3465</f>
        <v>12868.686868686869</v>
      </c>
      <c r="L65" s="36"/>
    </row>
    <row r="66" spans="1:12" s="21" customFormat="1" ht="11.1" customHeight="1" x14ac:dyDescent="0.2">
      <c r="A66" s="35" t="s">
        <v>16</v>
      </c>
      <c r="B66" s="20"/>
      <c r="C66" s="45">
        <f>C16/0.36658</f>
        <v>4967.5377816574828</v>
      </c>
      <c r="D66" s="36"/>
      <c r="E66" s="45">
        <f>E16/0.36658</f>
        <v>1396.6937639805772</v>
      </c>
      <c r="F66" s="36"/>
      <c r="G66" s="45">
        <f>G16/0.36658</f>
        <v>2356.9207267172242</v>
      </c>
      <c r="H66" s="36"/>
      <c r="I66" s="45">
        <f>I16/0.36658</f>
        <v>13115.827377380107</v>
      </c>
      <c r="J66" s="36"/>
      <c r="K66" s="45">
        <f>K16/0.36658</f>
        <v>12785.749358939385</v>
      </c>
      <c r="L66" s="36"/>
    </row>
    <row r="67" spans="1:12" s="21" customFormat="1" ht="11.1" customHeight="1" x14ac:dyDescent="0.2">
      <c r="A67" s="35" t="s">
        <v>17</v>
      </c>
      <c r="B67" s="20"/>
      <c r="C67" s="45">
        <f>C17/0.38999</f>
        <v>4997.5640401035926</v>
      </c>
      <c r="D67" s="36"/>
      <c r="E67" s="45">
        <f>E17/0.38999</f>
        <v>1389.779225108336</v>
      </c>
      <c r="F67" s="36"/>
      <c r="G67" s="45">
        <f>G17/0.38999</f>
        <v>2561.6041436959922</v>
      </c>
      <c r="H67" s="36"/>
      <c r="I67" s="45">
        <f>I17/0.38999</f>
        <v>12756.737352239801</v>
      </c>
      <c r="J67" s="36"/>
      <c r="K67" s="45">
        <f>K17/0.38999</f>
        <v>12754.173183927793</v>
      </c>
      <c r="L67" s="36"/>
    </row>
    <row r="68" spans="1:12" s="21" customFormat="1" ht="11.1" customHeight="1" x14ac:dyDescent="0.2">
      <c r="A68" s="35" t="s">
        <v>18</v>
      </c>
      <c r="B68" s="20"/>
      <c r="C68" s="45">
        <f>C18/0.41844</f>
        <v>5080.7762164229043</v>
      </c>
      <c r="D68" s="36"/>
      <c r="E68" s="45">
        <f>E18/0.41844</f>
        <v>1393.2702418506835</v>
      </c>
      <c r="F68" s="36"/>
      <c r="G68" s="45">
        <f>G18/0.41844</f>
        <v>2554.727081540962</v>
      </c>
      <c r="H68" s="36"/>
      <c r="I68" s="45">
        <f>I18/0.41844</f>
        <v>12964.821718764937</v>
      </c>
      <c r="J68" s="36"/>
      <c r="K68" s="45">
        <f>K18/0.41844</f>
        <v>12742.567632157537</v>
      </c>
      <c r="L68" s="36"/>
    </row>
    <row r="69" spans="1:12" s="21" customFormat="1" ht="11.1" customHeight="1" x14ac:dyDescent="0.2">
      <c r="A69" s="35" t="s">
        <v>19</v>
      </c>
      <c r="B69" s="20"/>
      <c r="C69" s="45">
        <f>C19/0.45848</f>
        <v>5055.8366777176761</v>
      </c>
      <c r="D69" s="36"/>
      <c r="E69" s="45">
        <f>E19/0.45848</f>
        <v>1456.9883091956028</v>
      </c>
      <c r="F69" s="36"/>
      <c r="G69" s="45">
        <f>G19/0.45848</f>
        <v>2630.4309893561335</v>
      </c>
      <c r="H69" s="36"/>
      <c r="I69" s="45">
        <f>I19/0.45848</f>
        <v>12925.318443552609</v>
      </c>
      <c r="J69" s="36"/>
      <c r="K69" s="45">
        <f>K19/0.45848</f>
        <v>12687.576339207817</v>
      </c>
      <c r="L69" s="36"/>
    </row>
    <row r="70" spans="1:12" s="21" customFormat="1" ht="11.1" customHeight="1" x14ac:dyDescent="0.2">
      <c r="A70" s="35" t="s">
        <v>20</v>
      </c>
      <c r="B70" s="20"/>
      <c r="C70" s="45">
        <f>C20/0.494</f>
        <v>5198.3805668016194</v>
      </c>
      <c r="D70" s="20"/>
      <c r="E70" s="45">
        <f>E20/0.494</f>
        <v>1641.7004048582996</v>
      </c>
      <c r="F70" s="36"/>
      <c r="G70" s="45">
        <f>G20/0.494</f>
        <v>2892.7125506072875</v>
      </c>
      <c r="H70" s="36"/>
      <c r="I70" s="45">
        <f>I20/0.494</f>
        <v>13597.165991902833</v>
      </c>
      <c r="J70" s="36"/>
      <c r="K70" s="45">
        <f>K20/0.494</f>
        <v>13287.449392712551</v>
      </c>
      <c r="L70" s="36"/>
    </row>
    <row r="71" spans="1:12" s="21" customFormat="1" ht="11.1" customHeight="1" x14ac:dyDescent="0.2">
      <c r="A71" s="35" t="s">
        <v>21</v>
      </c>
      <c r="B71" s="20"/>
      <c r="C71" s="45">
        <f>C21/0.53402</f>
        <v>5153.3650425077703</v>
      </c>
      <c r="D71" s="36"/>
      <c r="E71" s="45">
        <f>E21/0.53402</f>
        <v>1689.0753155312534</v>
      </c>
      <c r="F71" s="36"/>
      <c r="G71" s="45">
        <f>G21/0.53402</f>
        <v>2911.8759597018834</v>
      </c>
      <c r="H71" s="36"/>
      <c r="I71" s="45">
        <f>I21/0.53402</f>
        <v>14263.510729935208</v>
      </c>
      <c r="J71" s="36"/>
      <c r="K71" s="45">
        <f>K21/0.53402</f>
        <v>13117.486236470542</v>
      </c>
      <c r="L71" s="36"/>
    </row>
    <row r="72" spans="1:12" s="21" customFormat="1" ht="11.1" customHeight="1" x14ac:dyDescent="0.2">
      <c r="A72" s="35" t="s">
        <v>22</v>
      </c>
      <c r="B72" s="20"/>
      <c r="C72" s="45">
        <f>C22/0.57193</f>
        <v>5135.243823544839</v>
      </c>
      <c r="D72" s="36"/>
      <c r="E72" s="45">
        <f>E22/0.57193</f>
        <v>1697.7602154109768</v>
      </c>
      <c r="F72" s="36"/>
      <c r="G72" s="45">
        <f>G22/0.57193</f>
        <v>3080.7966009826373</v>
      </c>
      <c r="H72" s="45"/>
      <c r="I72" s="45">
        <f>I22/0.57193</f>
        <v>13566.345531795849</v>
      </c>
      <c r="J72" s="36"/>
      <c r="K72" s="45">
        <f>K22/0.57193</f>
        <v>13249.873236235202</v>
      </c>
      <c r="L72" s="36"/>
    </row>
    <row r="73" spans="1:12" s="21" customFormat="1" ht="11.1" customHeight="1" x14ac:dyDescent="0.2">
      <c r="A73" s="35" t="s">
        <v>23</v>
      </c>
      <c r="B73" s="20"/>
      <c r="C73" s="45">
        <f>C23/0.60592</f>
        <v>5020.4647478214947</v>
      </c>
      <c r="D73" s="36"/>
      <c r="E73" s="45">
        <f>E23/0.60592</f>
        <v>1671.8378663850012</v>
      </c>
      <c r="F73" s="36"/>
      <c r="G73" s="45">
        <f>G23/0.60592</f>
        <v>2992.1441774491682</v>
      </c>
      <c r="H73" s="36"/>
      <c r="I73" s="45">
        <f>I23/0.60592</f>
        <v>13480.327435965144</v>
      </c>
      <c r="J73" s="36"/>
      <c r="K73" s="45">
        <f>K23/0.60592</f>
        <v>12717.850541325588</v>
      </c>
      <c r="L73" s="36"/>
    </row>
    <row r="74" spans="1:12" s="21" customFormat="1" ht="11.1" customHeight="1" x14ac:dyDescent="0.2">
      <c r="A74" s="35" t="s">
        <v>24</v>
      </c>
      <c r="B74" s="20"/>
      <c r="C74" s="45">
        <f>C24/0.63114</f>
        <v>4894.3182178280567</v>
      </c>
      <c r="D74" s="36"/>
      <c r="E74" s="45">
        <f>E24/0.63114</f>
        <v>1593.9411224134105</v>
      </c>
      <c r="F74" s="36"/>
      <c r="G74" s="45">
        <f>G24/0.63114</f>
        <v>2837.7222169407737</v>
      </c>
      <c r="H74" s="36"/>
      <c r="I74" s="45">
        <f>I24/0.63114</f>
        <v>13201.508381658585</v>
      </c>
      <c r="J74" s="36"/>
      <c r="K74" s="45">
        <f>K24/0.63114</f>
        <v>12279.367493741483</v>
      </c>
      <c r="L74" s="36"/>
    </row>
    <row r="75" spans="1:12" s="21" customFormat="1" ht="11.1" customHeight="1" x14ac:dyDescent="0.2">
      <c r="A75" s="35">
        <v>1995</v>
      </c>
      <c r="B75" s="20"/>
      <c r="C75" s="46">
        <f>C25/0.65545</f>
        <v>5051.4913418262267</v>
      </c>
      <c r="D75" s="47"/>
      <c r="E75" s="46">
        <f>E25/0.65545</f>
        <v>1597.3758486535969</v>
      </c>
      <c r="F75" s="47"/>
      <c r="G75" s="46">
        <f>G25/0.65545</f>
        <v>2711.1145014875278</v>
      </c>
      <c r="H75" s="47"/>
      <c r="I75" s="46">
        <f>I25/0.65545</f>
        <v>13529.636127851096</v>
      </c>
      <c r="J75" s="47"/>
      <c r="K75" s="46">
        <f>K25/0.65545</f>
        <v>12869.021283087955</v>
      </c>
      <c r="L75" s="36"/>
    </row>
    <row r="76" spans="1:12" s="21" customFormat="1" ht="11.1" customHeight="1" x14ac:dyDescent="0.2">
      <c r="A76" s="48">
        <v>1996</v>
      </c>
      <c r="B76" s="20"/>
      <c r="C76" s="46">
        <f>C26/0.67242</f>
        <v>5010.2614437405191</v>
      </c>
      <c r="D76" s="47"/>
      <c r="E76" s="46">
        <f>E26/0.67242</f>
        <v>1558.54971595134</v>
      </c>
      <c r="F76" s="47"/>
      <c r="G76" s="46">
        <f>G26/0.67242</f>
        <v>2560.899437851343</v>
      </c>
      <c r="H76" s="47"/>
      <c r="I76" s="46">
        <f>I26/0.67242</f>
        <v>12822.34317837066</v>
      </c>
      <c r="J76" s="47"/>
      <c r="K76" s="46">
        <f>K26/0.67242</f>
        <v>12446.090241218286</v>
      </c>
      <c r="L76" s="36"/>
    </row>
    <row r="77" spans="1:12" s="21" customFormat="1" ht="11.1" customHeight="1" x14ac:dyDescent="0.2">
      <c r="A77" s="48">
        <v>1997</v>
      </c>
      <c r="B77" s="20"/>
      <c r="C77" s="46">
        <f>C27/0.68702</f>
        <v>5193.6728547619568</v>
      </c>
      <c r="D77" s="47"/>
      <c r="E77" s="46">
        <f>E27/0.68702</f>
        <v>1617.1722070075589</v>
      </c>
      <c r="F77" s="47"/>
      <c r="G77" s="46">
        <f>G27/0.68702</f>
        <v>2633.2621385566172</v>
      </c>
      <c r="H77" s="47"/>
      <c r="I77" s="46">
        <f>I27/0.68702</f>
        <v>13883.463707399495</v>
      </c>
      <c r="J77" s="47"/>
      <c r="K77" s="46">
        <f>K27/0.68702</f>
        <v>12855.086782617824</v>
      </c>
      <c r="L77" s="36"/>
    </row>
    <row r="78" spans="1:12" s="21" customFormat="1" ht="11.1" customHeight="1" x14ac:dyDescent="0.2">
      <c r="A78" s="48">
        <v>1998</v>
      </c>
      <c r="B78" s="20"/>
      <c r="C78" s="46">
        <f>C28/0.69892</f>
        <v>5076.3561703971354</v>
      </c>
      <c r="D78" s="47"/>
      <c r="E78" s="46">
        <f>E28/0.69892</f>
        <v>1726.9771900304179</v>
      </c>
      <c r="F78" s="47"/>
      <c r="G78" s="46">
        <f>G28/0.69892</f>
        <v>2693.7231656717031</v>
      </c>
      <c r="H78" s="47"/>
      <c r="I78" s="46">
        <f>I28/0.69892</f>
        <v>14656.045368470805</v>
      </c>
      <c r="J78" s="47"/>
      <c r="K78" s="46">
        <f>K28/0.69892</f>
        <v>13014.514953355958</v>
      </c>
      <c r="L78" s="36"/>
    </row>
    <row r="79" spans="1:12" s="21" customFormat="1" ht="11.1" customHeight="1" x14ac:dyDescent="0.2">
      <c r="A79" s="48">
        <v>1999</v>
      </c>
      <c r="B79" s="14"/>
      <c r="C79" s="46">
        <f>C29/0.71415</f>
        <v>5348.1424847781745</v>
      </c>
      <c r="D79" s="47"/>
      <c r="E79" s="46">
        <f>E29/0.71415</f>
        <v>1795.3076569177572</v>
      </c>
      <c r="F79" s="47"/>
      <c r="G79" s="46">
        <f>G29/0.71415</f>
        <v>2945.9017618141384</v>
      </c>
      <c r="H79" s="47"/>
      <c r="I79" s="46">
        <f>I29/0.71415</f>
        <v>15778.74041925693</v>
      </c>
      <c r="J79" s="47"/>
      <c r="K79" s="46">
        <f>K29/0.71415</f>
        <v>13766.81663980518</v>
      </c>
      <c r="L79" s="47"/>
    </row>
    <row r="80" spans="1:12" s="21" customFormat="1" ht="11.1" customHeight="1" x14ac:dyDescent="0.2">
      <c r="A80" s="48">
        <v>2000</v>
      </c>
      <c r="B80" s="14"/>
      <c r="C80" s="46">
        <f>C30/0.7326</f>
        <v>5372.3627639680708</v>
      </c>
      <c r="D80" s="47"/>
      <c r="E80" s="46">
        <f>E30/0.7326</f>
        <v>1853.0330234864196</v>
      </c>
      <c r="F80" s="47"/>
      <c r="G80" s="46">
        <f>G30/0.7326</f>
        <v>2771.1155101770473</v>
      </c>
      <c r="H80" s="47"/>
      <c r="I80" s="46">
        <f>I30/0.7326</f>
        <v>16282.42402114254</v>
      </c>
      <c r="J80" s="47"/>
      <c r="K80" s="46">
        <f>K30/0.7326</f>
        <v>14413.442365471972</v>
      </c>
      <c r="L80" s="47"/>
    </row>
    <row r="81" spans="1:27" s="21" customFormat="1" ht="11.1" customHeight="1" x14ac:dyDescent="0.2">
      <c r="A81" s="48">
        <v>2001</v>
      </c>
      <c r="B81" s="14"/>
      <c r="C81" s="46">
        <f>C31/0.75728</f>
        <v>5392.9252512592493</v>
      </c>
      <c r="D81" s="47"/>
      <c r="E81" s="46">
        <f>E31/0.75728</f>
        <v>1920.5518161380985</v>
      </c>
      <c r="F81" s="47"/>
      <c r="G81" s="46">
        <f>G31/0.75728</f>
        <v>2729.4386567968513</v>
      </c>
      <c r="H81" s="47"/>
      <c r="I81" s="46">
        <f>I31/0.75728</f>
        <v>16758.290039362102</v>
      </c>
      <c r="J81" s="47"/>
      <c r="K81" s="46">
        <f>K31/0.75728</f>
        <v>14935.662402441108</v>
      </c>
      <c r="L81" s="47"/>
    </row>
    <row r="82" spans="1:27" s="21" customFormat="1" ht="11.1" customHeight="1" x14ac:dyDescent="0.2">
      <c r="A82" s="48">
        <v>2002</v>
      </c>
      <c r="B82" s="14"/>
      <c r="C82" s="46">
        <f>C32/0.77741</f>
        <v>5567.2643566079041</v>
      </c>
      <c r="D82" s="47"/>
      <c r="E82" s="46">
        <f>E32/0.77741</f>
        <v>1987.6084338018172</v>
      </c>
      <c r="F82" s="47"/>
      <c r="G82" s="46">
        <f>G32/0.77741</f>
        <v>2701.207822144821</v>
      </c>
      <c r="H82" s="47"/>
      <c r="I82" s="46">
        <f>I32/0.77741</f>
        <v>17184.395359035021</v>
      </c>
      <c r="J82" s="47"/>
      <c r="K82" s="46">
        <f>K32/0.77741</f>
        <v>16047.281716149128</v>
      </c>
      <c r="L82" s="47"/>
    </row>
    <row r="83" spans="1:27" s="21" customFormat="1" ht="11.1" customHeight="1" x14ac:dyDescent="0.2">
      <c r="A83" s="48">
        <v>2003</v>
      </c>
      <c r="B83" s="14"/>
      <c r="C83" s="46">
        <f>C33/0.80502</f>
        <v>5574.0457292444489</v>
      </c>
      <c r="D83" s="47"/>
      <c r="E83" s="46">
        <f>E33/0.80502</f>
        <v>1994.5748904537043</v>
      </c>
      <c r="F83" s="47"/>
      <c r="G83" s="46">
        <f>G33/0.80502</f>
        <v>2847.5184166879008</v>
      </c>
      <c r="H83" s="47"/>
      <c r="I83" s="46">
        <f>I33/0.80502</f>
        <v>16990.196173458298</v>
      </c>
      <c r="J83" s="47"/>
      <c r="K83" s="46">
        <f>K33/0.80502</f>
        <v>16524.875907973059</v>
      </c>
      <c r="L83" s="47"/>
      <c r="M83" s="22"/>
      <c r="N83" s="22"/>
      <c r="O83" s="22"/>
      <c r="P83" s="22"/>
      <c r="Q83" s="22"/>
    </row>
    <row r="84" spans="1:27" s="21" customFormat="1" ht="11.1" customHeight="1" x14ac:dyDescent="0.2">
      <c r="A84" s="48">
        <v>2004</v>
      </c>
      <c r="B84" s="14"/>
      <c r="C84" s="46">
        <f>C34/0.83626</f>
        <v>5603.7065805765869</v>
      </c>
      <c r="D84" s="47"/>
      <c r="E84" s="46">
        <f>E34/0.83626</f>
        <v>1997.8121195045408</v>
      </c>
      <c r="F84" s="47"/>
      <c r="G84" s="46">
        <f>G34/0.83626</f>
        <v>3000.18889615544</v>
      </c>
      <c r="H84" s="47"/>
      <c r="I84" s="46">
        <f>I34/0.83626</f>
        <v>16489.793154694631</v>
      </c>
      <c r="J84" s="47"/>
      <c r="K84" s="46">
        <f>K34/0.83626</f>
        <v>16824.981948072284</v>
      </c>
      <c r="L84" s="47"/>
    </row>
    <row r="85" spans="1:27" s="21" customFormat="1" ht="11.1" customHeight="1" x14ac:dyDescent="0.2">
      <c r="A85" s="48">
        <v>2005</v>
      </c>
      <c r="B85" s="14"/>
      <c r="C85" s="46">
        <f>C35/0.86234</f>
        <v>5524.3415202460701</v>
      </c>
      <c r="D85" s="47"/>
      <c r="E85" s="46">
        <f>E35/0.86234</f>
        <v>2004.8752087136756</v>
      </c>
      <c r="F85" s="47"/>
      <c r="G85" s="46">
        <f>G35/0.86234</f>
        <v>2997.8995798912561</v>
      </c>
      <c r="H85" s="47"/>
      <c r="I85" s="46">
        <f>I35/0.86234</f>
        <v>16700.523759450491</v>
      </c>
      <c r="J85" s="47"/>
      <c r="K85" s="46">
        <f>K35/0.86234</f>
        <v>16856.021115373871</v>
      </c>
      <c r="L85" s="47"/>
    </row>
    <row r="86" spans="1:27" s="21" customFormat="1" ht="11.1" customHeight="1" x14ac:dyDescent="0.2">
      <c r="A86" s="48">
        <v>2006</v>
      </c>
      <c r="B86" s="14"/>
      <c r="C86" s="46">
        <f>C36/0.88971</f>
        <v>5209.8666095715562</v>
      </c>
      <c r="D86" s="47"/>
      <c r="E86" s="46">
        <f>E36/0.88971</f>
        <v>2032.2830721408118</v>
      </c>
      <c r="F86" s="47"/>
      <c r="G86" s="46">
        <f>G36/0.88971</f>
        <v>2941.1053830503088</v>
      </c>
      <c r="H86" s="47"/>
      <c r="I86" s="46">
        <f>I36/0.88971</f>
        <v>14913.253725644103</v>
      </c>
      <c r="J86" s="47"/>
      <c r="K86" s="46">
        <f>K36/0.88971</f>
        <v>15625.856674221934</v>
      </c>
      <c r="L86" s="47"/>
      <c r="M86" s="22"/>
    </row>
    <row r="87" spans="1:27" s="22" customFormat="1" ht="11.1" customHeight="1" x14ac:dyDescent="0.2">
      <c r="A87" s="48">
        <v>2007</v>
      </c>
      <c r="B87" s="14"/>
      <c r="C87" s="46">
        <f>C37/0.92063</f>
        <v>5280.8592037473518</v>
      </c>
      <c r="D87" s="47"/>
      <c r="E87" s="46">
        <f>E37/0.92063</f>
        <v>2119.6491898708059</v>
      </c>
      <c r="F87" s="47"/>
      <c r="G87" s="46">
        <f>G37/0.92063</f>
        <v>2990.4562310495835</v>
      </c>
      <c r="H87" s="47"/>
      <c r="I87" s="46">
        <f>I37/0.92063</f>
        <v>15359.728206201211</v>
      </c>
      <c r="J87" s="47"/>
      <c r="K87" s="46">
        <f>K37/0.92063</f>
        <v>15417.825898047962</v>
      </c>
      <c r="L87" s="47"/>
    </row>
    <row r="88" spans="1:27" s="22" customFormat="1" ht="11.1" customHeight="1" x14ac:dyDescent="0.2">
      <c r="A88" s="48">
        <v>2008</v>
      </c>
      <c r="B88" s="14"/>
      <c r="C88" s="46">
        <f>C38/0.94908</f>
        <v>5321.6305702986783</v>
      </c>
      <c r="D88" s="47"/>
      <c r="E88" s="46">
        <f>E38/0.94908</f>
        <v>2144.632277854229</v>
      </c>
      <c r="F88" s="47"/>
      <c r="G88" s="46">
        <f>G38/0.94908</f>
        <v>3067.886282692134</v>
      </c>
      <c r="H88" s="47"/>
      <c r="I88" s="46">
        <f>I38/0.94908</f>
        <v>15532.474918925824</v>
      </c>
      <c r="J88" s="47"/>
      <c r="K88" s="46">
        <f>K38/0.94908</f>
        <v>15639.060423909215</v>
      </c>
      <c r="L88" s="47"/>
    </row>
    <row r="89" spans="1:27" s="21" customFormat="1" ht="11.1" customHeight="1" x14ac:dyDescent="0.2">
      <c r="A89" s="48">
        <v>2009</v>
      </c>
      <c r="B89" s="14"/>
      <c r="C89" s="46">
        <f>C39/0.97296</f>
        <v>5369.7519507633242</v>
      </c>
      <c r="D89" s="47"/>
      <c r="E89" s="46">
        <f>E39/0.97296</f>
        <v>2204.5146270558853</v>
      </c>
      <c r="F89" s="47"/>
      <c r="G89" s="46">
        <f>G39/0.97296</f>
        <v>3231.4770200090643</v>
      </c>
      <c r="H89" s="47"/>
      <c r="I89" s="46">
        <f>I39/0.97296</f>
        <v>15763.046124559583</v>
      </c>
      <c r="J89" s="47"/>
      <c r="K89" s="46">
        <f>K39/0.97296</f>
        <v>16105.112556334954</v>
      </c>
      <c r="L89" s="47"/>
    </row>
    <row r="90" spans="1:27" s="21" customFormat="1" ht="11.1" customHeight="1" x14ac:dyDescent="0.2">
      <c r="A90" s="49">
        <v>2010</v>
      </c>
      <c r="B90" s="50"/>
      <c r="C90" s="51">
        <f>C40/1</f>
        <v>5191.6994699802062</v>
      </c>
      <c r="D90" s="52"/>
      <c r="E90" s="51">
        <f>E40/1</f>
        <v>2128.9312514737817</v>
      </c>
      <c r="F90" s="52"/>
      <c r="G90" s="51">
        <f>G40/1</f>
        <v>3102.443940704361</v>
      </c>
      <c r="H90" s="52"/>
      <c r="I90" s="51">
        <f>I40/1</f>
        <v>15338.870072788255</v>
      </c>
      <c r="J90" s="52"/>
      <c r="K90" s="51">
        <f>K40/1</f>
        <v>15751.973305791009</v>
      </c>
      <c r="L90" s="52"/>
    </row>
    <row r="91" spans="1:27" s="10" customFormat="1" ht="12" customHeight="1" x14ac:dyDescent="0.15">
      <c r="A91" s="7" t="s">
        <v>29</v>
      </c>
      <c r="B91" s="8"/>
      <c r="C91" s="9"/>
      <c r="D91" s="8"/>
      <c r="E91" s="9"/>
      <c r="F91" s="9"/>
      <c r="G91" s="9"/>
      <c r="H91" s="9"/>
      <c r="I91" s="9"/>
      <c r="J91" s="9"/>
      <c r="K91" s="9"/>
      <c r="L91" s="9"/>
      <c r="M91" s="9"/>
      <c r="N91" s="8"/>
      <c r="O91" s="8"/>
    </row>
    <row r="92" spans="1:27" s="4" customFormat="1" ht="6" customHeight="1" x14ac:dyDescent="0.2">
      <c r="A92" s="11"/>
      <c r="B92" s="12"/>
      <c r="C92" s="13"/>
      <c r="D92" s="12"/>
      <c r="E92" s="13"/>
      <c r="F92" s="13"/>
      <c r="G92" s="13"/>
      <c r="H92" s="13"/>
      <c r="I92" s="13"/>
      <c r="J92" s="13"/>
      <c r="K92" s="13"/>
      <c r="L92" s="13"/>
      <c r="M92" s="13"/>
      <c r="N92" s="12"/>
      <c r="O92" s="14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</row>
    <row r="93" spans="1:27" ht="9.75" customHeight="1" x14ac:dyDescent="0.2">
      <c r="A93" s="15" t="s">
        <v>33</v>
      </c>
      <c r="B93" s="16"/>
      <c r="C93" s="17"/>
      <c r="D93" s="16"/>
      <c r="E93" s="16"/>
      <c r="F93" s="16"/>
      <c r="G93" s="16"/>
      <c r="H93" s="16"/>
      <c r="I93" s="16"/>
      <c r="J93" s="16"/>
      <c r="K93" s="16"/>
      <c r="L93" s="16"/>
      <c r="M93" s="8"/>
      <c r="N93" s="14"/>
      <c r="O93" s="14"/>
      <c r="P93" s="4"/>
      <c r="Q93" s="4"/>
      <c r="R93" s="4"/>
      <c r="S93" s="4"/>
      <c r="T93" s="4"/>
      <c r="U93" s="4"/>
      <c r="V93" s="4"/>
      <c r="W93" s="4"/>
      <c r="X93" s="4"/>
      <c r="Y93" s="4"/>
    </row>
    <row r="94" spans="1:27" ht="9.75" customHeight="1" x14ac:dyDescent="0.2">
      <c r="A94" s="18" t="s">
        <v>34</v>
      </c>
      <c r="B94" s="16"/>
      <c r="C94" s="17"/>
      <c r="D94" s="16"/>
      <c r="E94" s="16"/>
      <c r="F94" s="16"/>
      <c r="G94" s="16"/>
      <c r="H94" s="16"/>
      <c r="I94" s="16"/>
      <c r="J94" s="16"/>
      <c r="K94" s="16"/>
      <c r="L94" s="16"/>
      <c r="M94" s="8"/>
      <c r="N94" s="14"/>
      <c r="O94" s="14"/>
      <c r="P94" s="4"/>
      <c r="Q94" s="4"/>
      <c r="R94" s="4"/>
      <c r="S94" s="4"/>
      <c r="T94" s="4"/>
      <c r="U94" s="4"/>
      <c r="V94" s="4"/>
      <c r="W94" s="4"/>
      <c r="X94" s="4"/>
      <c r="Y94" s="4"/>
    </row>
    <row r="95" spans="1:27" ht="9.75" customHeight="1" x14ac:dyDescent="0.2">
      <c r="A95" s="18" t="s">
        <v>43</v>
      </c>
      <c r="B95" s="16"/>
      <c r="C95" s="17"/>
      <c r="D95" s="16"/>
      <c r="E95" s="16"/>
      <c r="F95" s="16"/>
      <c r="G95" s="16"/>
      <c r="H95" s="16"/>
      <c r="I95" s="16"/>
      <c r="J95" s="16"/>
      <c r="K95" s="16"/>
      <c r="L95" s="16"/>
      <c r="M95" s="8"/>
      <c r="N95" s="14"/>
      <c r="O95" s="14"/>
      <c r="P95" s="4"/>
      <c r="Q95" s="4"/>
      <c r="R95" s="4"/>
      <c r="S95" s="4"/>
      <c r="T95" s="4"/>
      <c r="U95" s="4"/>
      <c r="V95" s="4"/>
      <c r="W95" s="4"/>
      <c r="X95" s="4"/>
      <c r="Y95" s="4"/>
    </row>
    <row r="96" spans="1:27" ht="9.75" customHeight="1" x14ac:dyDescent="0.2">
      <c r="A96" s="58" t="s">
        <v>35</v>
      </c>
      <c r="B96" s="16"/>
      <c r="C96" s="17"/>
      <c r="D96" s="16"/>
      <c r="E96" s="16"/>
      <c r="F96" s="16"/>
      <c r="G96" s="16"/>
      <c r="H96" s="16"/>
      <c r="I96" s="16"/>
      <c r="J96" s="16"/>
      <c r="K96" s="16"/>
      <c r="L96" s="16"/>
      <c r="M96" s="8"/>
      <c r="N96" s="14"/>
      <c r="O96" s="14"/>
      <c r="P96" s="4"/>
      <c r="Q96" s="4"/>
      <c r="R96" s="4"/>
      <c r="S96" s="4"/>
      <c r="T96" s="4"/>
      <c r="U96" s="4"/>
      <c r="V96" s="4"/>
      <c r="W96" s="4"/>
      <c r="X96" s="4"/>
      <c r="Y96" s="4"/>
    </row>
    <row r="97" spans="1:25" ht="9.75" customHeight="1" x14ac:dyDescent="0.2">
      <c r="A97" s="58" t="s">
        <v>36</v>
      </c>
      <c r="B97" s="16"/>
      <c r="C97" s="17"/>
      <c r="D97" s="16"/>
      <c r="E97" s="16"/>
      <c r="F97" s="16"/>
      <c r="G97" s="16"/>
      <c r="H97" s="16"/>
      <c r="I97" s="16"/>
      <c r="J97" s="16"/>
      <c r="K97" s="16"/>
      <c r="L97" s="16"/>
      <c r="M97" s="8"/>
      <c r="N97" s="14"/>
      <c r="O97" s="14"/>
      <c r="P97" s="4"/>
      <c r="Q97" s="4"/>
      <c r="R97" s="4"/>
      <c r="S97" s="4"/>
      <c r="T97" s="4"/>
      <c r="U97" s="4"/>
      <c r="V97" s="4"/>
      <c r="W97" s="4"/>
      <c r="X97" s="4"/>
      <c r="Y97" s="4"/>
    </row>
    <row r="98" spans="1:25" ht="9.75" customHeight="1" x14ac:dyDescent="0.2">
      <c r="A98" s="58" t="s">
        <v>37</v>
      </c>
      <c r="B98" s="16"/>
      <c r="C98" s="17"/>
      <c r="D98" s="16"/>
      <c r="E98" s="16"/>
      <c r="F98" s="16"/>
      <c r="G98" s="16"/>
      <c r="H98" s="16"/>
      <c r="I98" s="16"/>
      <c r="J98" s="16"/>
      <c r="K98" s="16"/>
      <c r="L98" s="16"/>
      <c r="M98" s="8"/>
      <c r="N98" s="14"/>
      <c r="O98" s="14"/>
      <c r="P98" s="4"/>
      <c r="Q98" s="4"/>
      <c r="R98" s="4"/>
      <c r="S98" s="4"/>
      <c r="T98" s="4"/>
      <c r="U98" s="4"/>
      <c r="V98" s="4"/>
      <c r="W98" s="4"/>
      <c r="X98" s="4"/>
      <c r="Y98" s="4"/>
    </row>
    <row r="99" spans="1:25" ht="9.75" customHeight="1" x14ac:dyDescent="0.2">
      <c r="A99" s="58" t="s">
        <v>38</v>
      </c>
      <c r="B99" s="16"/>
      <c r="C99" s="17"/>
      <c r="D99" s="16"/>
      <c r="E99" s="16"/>
      <c r="F99" s="16"/>
      <c r="G99" s="16"/>
      <c r="H99" s="16"/>
      <c r="I99" s="16"/>
      <c r="J99" s="16"/>
      <c r="K99" s="16"/>
      <c r="L99" s="16"/>
      <c r="M99" s="8"/>
      <c r="N99" s="14"/>
      <c r="O99" s="14"/>
      <c r="P99" s="4"/>
      <c r="Q99" s="4"/>
      <c r="R99" s="4"/>
      <c r="S99" s="4"/>
      <c r="T99" s="4"/>
      <c r="U99" s="4"/>
      <c r="V99" s="4"/>
      <c r="W99" s="4"/>
      <c r="X99" s="4"/>
      <c r="Y99" s="4"/>
    </row>
    <row r="100" spans="1:25" ht="9.75" customHeight="1" x14ac:dyDescent="0.2">
      <c r="A100" s="58" t="s">
        <v>40</v>
      </c>
      <c r="B100" s="16"/>
      <c r="C100" s="17"/>
      <c r="D100" s="16"/>
      <c r="E100" s="16"/>
      <c r="F100" s="16"/>
      <c r="G100" s="16"/>
      <c r="H100" s="16"/>
      <c r="I100" s="16"/>
      <c r="J100" s="16"/>
      <c r="K100" s="16"/>
      <c r="L100" s="16"/>
      <c r="M100" s="8"/>
      <c r="N100" s="14"/>
      <c r="O100" s="14"/>
      <c r="P100" s="4"/>
      <c r="Q100" s="4"/>
      <c r="R100" s="4"/>
      <c r="S100" s="4"/>
      <c r="T100" s="4"/>
      <c r="U100" s="4"/>
      <c r="V100" s="4"/>
      <c r="W100" s="4"/>
      <c r="X100" s="4"/>
      <c r="Y100" s="4"/>
    </row>
    <row r="101" spans="1:25" ht="9.75" customHeight="1" x14ac:dyDescent="0.2">
      <c r="A101" s="58" t="s">
        <v>39</v>
      </c>
      <c r="B101" s="16"/>
      <c r="C101" s="17"/>
      <c r="D101" s="16"/>
      <c r="E101" s="16"/>
      <c r="F101" s="16"/>
      <c r="G101" s="16"/>
      <c r="H101" s="16"/>
      <c r="I101" s="16"/>
      <c r="J101" s="16"/>
      <c r="K101" s="16"/>
      <c r="L101" s="16"/>
      <c r="M101" s="8"/>
      <c r="N101" s="14"/>
      <c r="O101" s="14"/>
      <c r="P101" s="4"/>
      <c r="Q101" s="4"/>
      <c r="R101" s="4"/>
      <c r="S101" s="4"/>
      <c r="T101" s="4"/>
      <c r="U101" s="4"/>
      <c r="V101" s="4"/>
      <c r="W101" s="4"/>
      <c r="X101" s="4"/>
      <c r="Y101" s="4"/>
    </row>
    <row r="102" spans="1:25" ht="8.1" customHeight="1" x14ac:dyDescent="0.2">
      <c r="A102" s="18"/>
      <c r="B102" s="16"/>
      <c r="C102" s="17"/>
      <c r="D102" s="16"/>
      <c r="E102" s="16"/>
      <c r="F102" s="16"/>
      <c r="G102" s="16"/>
      <c r="H102" s="16"/>
      <c r="I102" s="16"/>
      <c r="J102" s="16"/>
      <c r="K102" s="16"/>
      <c r="L102" s="16"/>
      <c r="M102" s="8"/>
      <c r="N102" s="14"/>
      <c r="O102" s="14"/>
      <c r="P102" s="4"/>
      <c r="Q102" s="4"/>
      <c r="R102" s="4"/>
      <c r="S102" s="4"/>
      <c r="T102" s="4"/>
      <c r="U102" s="4"/>
      <c r="V102" s="4"/>
      <c r="W102" s="4"/>
      <c r="X102" s="4"/>
      <c r="Y102" s="4"/>
    </row>
    <row r="103" spans="1:25" s="1" customFormat="1" ht="9.75" customHeight="1" x14ac:dyDescent="0.15">
      <c r="A103" s="19" t="s">
        <v>46</v>
      </c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8"/>
      <c r="N103" s="8"/>
      <c r="O103" s="8"/>
      <c r="P103" s="10"/>
      <c r="Q103" s="10"/>
      <c r="R103" s="10"/>
      <c r="S103" s="10"/>
      <c r="T103" s="10"/>
      <c r="U103" s="10"/>
      <c r="V103" s="10"/>
      <c r="W103" s="10"/>
      <c r="X103" s="10"/>
      <c r="Y103" s="10"/>
    </row>
    <row r="104" spans="1:25" s="1" customFormat="1" ht="9.75" customHeight="1" x14ac:dyDescent="0.15">
      <c r="A104" s="18" t="s">
        <v>30</v>
      </c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8"/>
      <c r="N104" s="8"/>
      <c r="O104" s="8"/>
      <c r="P104" s="10"/>
      <c r="Q104" s="10"/>
      <c r="R104" s="10"/>
      <c r="S104" s="10"/>
      <c r="T104" s="10"/>
      <c r="U104" s="10"/>
      <c r="V104" s="10"/>
      <c r="W104" s="10"/>
      <c r="X104" s="10"/>
      <c r="Y104" s="10"/>
    </row>
    <row r="105" spans="1:25" ht="9.9499999999999993" customHeight="1" x14ac:dyDescent="0.2">
      <c r="A105" s="18" t="s">
        <v>44</v>
      </c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14"/>
      <c r="N105" s="14"/>
      <c r="O105" s="14"/>
      <c r="P105" s="4"/>
      <c r="Q105" s="4"/>
      <c r="R105" s="4"/>
      <c r="S105" s="4"/>
      <c r="T105" s="4"/>
      <c r="U105" s="4"/>
      <c r="V105" s="4"/>
      <c r="W105" s="4"/>
      <c r="X105" s="4"/>
      <c r="Y105" s="4"/>
    </row>
    <row r="106" spans="1:25" ht="9.9499999999999993" customHeight="1" x14ac:dyDescent="0.2">
      <c r="A106" s="18"/>
    </row>
    <row r="107" spans="1:25" x14ac:dyDescent="0.2">
      <c r="C107" s="54"/>
    </row>
    <row r="111" spans="1:25" x14ac:dyDescent="0.2">
      <c r="D111" s="59" t="s">
        <v>45</v>
      </c>
    </row>
  </sheetData>
  <mergeCells count="2">
    <mergeCell ref="A50:L50"/>
    <mergeCell ref="C54:K54"/>
  </mergeCells>
  <phoneticPr fontId="4" type="noConversion"/>
  <printOptions gridLinesSet="0"/>
  <pageMargins left="0.75" right="0.75" top="1.01" bottom="0.5" header="0.5" footer="0.5"/>
  <pageSetup firstPageNumber="226" orientation="portrait" horizontalDpi="300" verticalDpi="300" r:id="rId1"/>
  <headerFooter alignWithMargins="0">
    <oddFooter>&amp;L&amp;"Times New Roman,Bold"&amp;8MEDICARE &amp;&amp; MEDICAID RESEARCH REVIEW/&amp;"Times New Roman,Regular"&amp;6 2012 Statistical Supplement</oddFooter>
  </headerFooter>
  <rowBreaks count="1" manualBreakCount="1">
    <brk id="49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TABLE13.11</vt:lpstr>
      <vt:lpstr>TABLE13.11!Print_Area</vt:lpstr>
      <vt:lpstr>Print_Area_MI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Diana Murphy</cp:lastModifiedBy>
  <cp:lastPrinted>2013-04-15T15:28:51Z</cp:lastPrinted>
  <dcterms:created xsi:type="dcterms:W3CDTF">1999-10-08T13:40:46Z</dcterms:created>
  <dcterms:modified xsi:type="dcterms:W3CDTF">2013-04-24T15:01:28Z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160348052</vt:i4>
  </property>
  <property fmtid="{D5CDD505-2E9C-101B-9397-08002B2CF9AE}" pid="3" name="_NewReviewCycle">
    <vt:lpwstr/>
  </property>
  <property fmtid="{D5CDD505-2E9C-101B-9397-08002B2CF9AE}" pid="4" name="_EmailSubject">
    <vt:lpwstr>Medicaid tables 13.11 - 13.20 (2012 Statistical Sipplement)) 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  <property fmtid="{D5CDD505-2E9C-101B-9397-08002B2CF9AE}" pid="7" name="_PreviousAdHocReviewCycleID">
    <vt:i4>160348052</vt:i4>
  </property>
</Properties>
</file>