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9630" windowHeight="5175" tabRatio="601"/>
  </bookViews>
  <sheets>
    <sheet name="TABLE13.13" sheetId="1" r:id="rId1"/>
  </sheets>
  <definedNames>
    <definedName name="_Regression_Int" localSheetId="0" hidden="1">1</definedName>
    <definedName name="_xlnm.Print_Area" localSheetId="0">TABLE13.13!$A$1:$W$110</definedName>
    <definedName name="_xlnm.Print_Area">TABLE13.13!$A$1:$W$104</definedName>
    <definedName name="Print_Area_MI" localSheetId="0">TABLE13.13!$A$1:$W$104</definedName>
  </definedNames>
  <calcPr calcId="145621"/>
</workbook>
</file>

<file path=xl/calcChain.xml><?xml version="1.0" encoding="utf-8"?>
<calcChain xmlns="http://schemas.openxmlformats.org/spreadsheetml/2006/main">
  <c r="O41" i="1" l="1"/>
  <c r="V41" i="1"/>
  <c r="S41" i="1"/>
  <c r="Q41" i="1"/>
  <c r="E41" i="1"/>
  <c r="C41" i="1"/>
  <c r="S88" i="1" l="1"/>
  <c r="V87" i="1"/>
  <c r="S87" i="1"/>
  <c r="E87" i="1"/>
  <c r="C87" i="1"/>
  <c r="Q86" i="1"/>
  <c r="O86" i="1"/>
  <c r="V85" i="1"/>
  <c r="S85" i="1"/>
  <c r="E85" i="1"/>
  <c r="C85" i="1"/>
  <c r="Q84" i="1"/>
  <c r="O84" i="1"/>
  <c r="V83" i="1"/>
  <c r="S83" i="1"/>
  <c r="E83" i="1"/>
  <c r="C83" i="1"/>
  <c r="Q82" i="1"/>
  <c r="O82" i="1"/>
  <c r="V81" i="1"/>
  <c r="S81" i="1"/>
  <c r="E81" i="1"/>
  <c r="C81" i="1"/>
  <c r="Q80" i="1"/>
  <c r="O80" i="1"/>
  <c r="V79" i="1"/>
  <c r="S79" i="1"/>
  <c r="E79" i="1"/>
  <c r="C79" i="1"/>
  <c r="Q78" i="1"/>
  <c r="O78" i="1"/>
  <c r="V77" i="1"/>
  <c r="S77" i="1"/>
  <c r="E77" i="1"/>
  <c r="C77" i="1"/>
  <c r="Q76" i="1"/>
  <c r="O76" i="1"/>
  <c r="V75" i="1"/>
  <c r="S75" i="1"/>
  <c r="E75" i="1"/>
  <c r="C75" i="1"/>
  <c r="V74" i="1"/>
  <c r="S74" i="1"/>
  <c r="Q74" i="1"/>
  <c r="O74" i="1"/>
  <c r="E74" i="1"/>
  <c r="C74" i="1"/>
  <c r="V73" i="1"/>
  <c r="S73" i="1"/>
  <c r="Q73" i="1"/>
  <c r="O73" i="1"/>
  <c r="E73" i="1"/>
  <c r="C73" i="1"/>
  <c r="V72" i="1"/>
  <c r="S72" i="1"/>
  <c r="Q72" i="1"/>
  <c r="O72" i="1"/>
  <c r="E72" i="1"/>
  <c r="C72" i="1"/>
  <c r="V71" i="1"/>
  <c r="S71" i="1"/>
  <c r="Q71" i="1"/>
  <c r="O71" i="1"/>
  <c r="E71" i="1"/>
  <c r="C71" i="1"/>
  <c r="V70" i="1"/>
  <c r="S70" i="1"/>
  <c r="Q70" i="1"/>
  <c r="O70" i="1"/>
  <c r="E70" i="1"/>
  <c r="C70" i="1"/>
  <c r="V69" i="1"/>
  <c r="S69" i="1"/>
  <c r="Q69" i="1"/>
  <c r="O69" i="1"/>
  <c r="E69" i="1"/>
  <c r="C69" i="1"/>
  <c r="V68" i="1"/>
  <c r="S68" i="1"/>
  <c r="Q68" i="1"/>
  <c r="O68" i="1"/>
  <c r="E68" i="1"/>
  <c r="C68" i="1"/>
  <c r="V67" i="1"/>
  <c r="S67" i="1"/>
  <c r="Q67" i="1"/>
  <c r="O67" i="1"/>
  <c r="E67" i="1"/>
  <c r="C67" i="1"/>
  <c r="V66" i="1"/>
  <c r="S66" i="1"/>
  <c r="Q66" i="1"/>
  <c r="O66" i="1"/>
  <c r="E66" i="1"/>
  <c r="C66" i="1"/>
  <c r="V65" i="1"/>
  <c r="S65" i="1"/>
  <c r="Q65" i="1"/>
  <c r="O65" i="1"/>
  <c r="E65" i="1"/>
  <c r="C65" i="1"/>
  <c r="V64" i="1"/>
  <c r="S64" i="1"/>
  <c r="Q64" i="1"/>
  <c r="O64" i="1"/>
  <c r="E64" i="1"/>
  <c r="C64" i="1"/>
  <c r="V63" i="1"/>
  <c r="S63" i="1"/>
  <c r="Q63" i="1"/>
  <c r="O63" i="1"/>
  <c r="E63" i="1"/>
  <c r="C63" i="1"/>
  <c r="V62" i="1"/>
  <c r="S62" i="1"/>
  <c r="Q62" i="1"/>
  <c r="O62" i="1"/>
  <c r="E62" i="1"/>
  <c r="C62" i="1"/>
  <c r="V61" i="1"/>
  <c r="S61" i="1"/>
  <c r="Q61" i="1"/>
  <c r="O61" i="1"/>
  <c r="E61" i="1"/>
  <c r="C61" i="1"/>
  <c r="V60" i="1"/>
  <c r="S60" i="1"/>
  <c r="Q60" i="1"/>
  <c r="O60" i="1"/>
  <c r="E60" i="1"/>
  <c r="C60" i="1"/>
  <c r="V59" i="1"/>
  <c r="S59" i="1"/>
  <c r="Q59" i="1"/>
  <c r="O59" i="1"/>
  <c r="E59" i="1"/>
  <c r="C59" i="1"/>
  <c r="V58" i="1"/>
  <c r="S58" i="1"/>
  <c r="Q58" i="1"/>
  <c r="O58" i="1"/>
  <c r="E58" i="1"/>
  <c r="C58" i="1"/>
  <c r="V57" i="1"/>
  <c r="S57" i="1"/>
  <c r="Q57" i="1"/>
  <c r="O57" i="1"/>
  <c r="E57" i="1"/>
  <c r="C57" i="1"/>
  <c r="V56" i="1"/>
  <c r="S56" i="1"/>
  <c r="Q56" i="1"/>
  <c r="O56" i="1"/>
  <c r="E56" i="1"/>
  <c r="C56" i="1"/>
  <c r="V55" i="1"/>
  <c r="S55" i="1"/>
  <c r="Q55" i="1"/>
  <c r="O55" i="1"/>
  <c r="E55" i="1"/>
  <c r="C55" i="1"/>
  <c r="V54" i="1"/>
  <c r="S54" i="1"/>
  <c r="Q54" i="1"/>
  <c r="O54" i="1"/>
  <c r="E54" i="1"/>
  <c r="C54" i="1"/>
  <c r="V53" i="1"/>
  <c r="S53" i="1"/>
  <c r="Q53" i="1"/>
  <c r="O53" i="1"/>
  <c r="E53" i="1"/>
  <c r="C53" i="1"/>
  <c r="Q88" i="1"/>
  <c r="O88" i="1"/>
  <c r="V88" i="1"/>
  <c r="E88" i="1"/>
  <c r="C88" i="1"/>
  <c r="V40" i="1"/>
  <c r="S40" i="1"/>
  <c r="Q40" i="1"/>
  <c r="Q87" i="1" s="1"/>
  <c r="O40" i="1"/>
  <c r="O87" i="1" s="1"/>
  <c r="E40" i="1"/>
  <c r="C40" i="1"/>
  <c r="V39" i="1"/>
  <c r="V86" i="1" s="1"/>
  <c r="S39" i="1"/>
  <c r="S86" i="1" s="1"/>
  <c r="Q39" i="1"/>
  <c r="O39" i="1"/>
  <c r="E39" i="1"/>
  <c r="E86" i="1" s="1"/>
  <c r="C39" i="1"/>
  <c r="C86" i="1" s="1"/>
  <c r="V38" i="1"/>
  <c r="S38" i="1"/>
  <c r="Q38" i="1"/>
  <c r="Q85" i="1" s="1"/>
  <c r="O38" i="1"/>
  <c r="O85" i="1" s="1"/>
  <c r="E38" i="1"/>
  <c r="C38" i="1"/>
  <c r="C37" i="1"/>
  <c r="C84" i="1" s="1"/>
  <c r="V37" i="1"/>
  <c r="V84" i="1" s="1"/>
  <c r="S37" i="1"/>
  <c r="S84" i="1" s="1"/>
  <c r="Q37" i="1"/>
  <c r="O37" i="1"/>
  <c r="E37" i="1"/>
  <c r="E84" i="1" s="1"/>
  <c r="V36" i="1"/>
  <c r="S36" i="1"/>
  <c r="Q36" i="1"/>
  <c r="Q83" i="1" s="1"/>
  <c r="O36" i="1"/>
  <c r="O83" i="1" s="1"/>
  <c r="E36" i="1"/>
  <c r="C36" i="1"/>
  <c r="V35" i="1"/>
  <c r="V82" i="1" s="1"/>
  <c r="S35" i="1"/>
  <c r="S82" i="1" s="1"/>
  <c r="Q35" i="1"/>
  <c r="O35" i="1"/>
  <c r="E35" i="1"/>
  <c r="E82" i="1" s="1"/>
  <c r="C35" i="1"/>
  <c r="C82" i="1" s="1"/>
  <c r="V34" i="1"/>
  <c r="S34" i="1"/>
  <c r="Q34" i="1"/>
  <c r="Q81" i="1" s="1"/>
  <c r="O34" i="1"/>
  <c r="O81" i="1" s="1"/>
  <c r="E34" i="1"/>
  <c r="C34" i="1"/>
  <c r="V33" i="1"/>
  <c r="V80" i="1" s="1"/>
  <c r="S33" i="1"/>
  <c r="S80" i="1" s="1"/>
  <c r="Q33" i="1"/>
  <c r="O33" i="1"/>
  <c r="E33" i="1"/>
  <c r="E80" i="1" s="1"/>
  <c r="C33" i="1"/>
  <c r="C80" i="1" s="1"/>
  <c r="V32" i="1"/>
  <c r="S32" i="1"/>
  <c r="Q32" i="1"/>
  <c r="Q79" i="1" s="1"/>
  <c r="O32" i="1"/>
  <c r="O79" i="1" s="1"/>
  <c r="E32" i="1"/>
  <c r="C32" i="1"/>
  <c r="V31" i="1"/>
  <c r="V78" i="1" s="1"/>
  <c r="S31" i="1"/>
  <c r="S78" i="1" s="1"/>
  <c r="Q31" i="1"/>
  <c r="O31" i="1"/>
  <c r="E31" i="1"/>
  <c r="E78" i="1" s="1"/>
  <c r="C31" i="1"/>
  <c r="C78" i="1" s="1"/>
  <c r="V30" i="1"/>
  <c r="S30" i="1"/>
  <c r="Q30" i="1"/>
  <c r="Q77" i="1" s="1"/>
  <c r="O30" i="1"/>
  <c r="O77" i="1" s="1"/>
  <c r="E30" i="1"/>
  <c r="C30" i="1"/>
  <c r="V29" i="1"/>
  <c r="V76" i="1" s="1"/>
  <c r="S29" i="1"/>
  <c r="S76" i="1" s="1"/>
  <c r="Q29" i="1"/>
  <c r="O29" i="1"/>
  <c r="E29" i="1"/>
  <c r="E76" i="1" s="1"/>
  <c r="C29" i="1"/>
  <c r="C76" i="1" s="1"/>
  <c r="V28" i="1"/>
  <c r="S28" i="1"/>
  <c r="Q28" i="1"/>
  <c r="Q75" i="1" s="1"/>
  <c r="O28" i="1"/>
  <c r="O75" i="1" s="1"/>
  <c r="E28" i="1"/>
  <c r="C28" i="1"/>
  <c r="I68" i="1"/>
  <c r="J68" i="1"/>
  <c r="K68" i="1"/>
  <c r="L68" i="1"/>
  <c r="I69" i="1"/>
  <c r="J69" i="1"/>
  <c r="K69" i="1"/>
  <c r="L69" i="1"/>
  <c r="I70" i="1"/>
  <c r="J70" i="1"/>
  <c r="K70" i="1"/>
  <c r="L70" i="1"/>
  <c r="I71" i="1"/>
  <c r="J71" i="1"/>
  <c r="K71" i="1"/>
  <c r="L71" i="1"/>
  <c r="I72" i="1"/>
  <c r="J72" i="1"/>
  <c r="K72" i="1"/>
  <c r="L72" i="1"/>
</calcChain>
</file>

<file path=xl/sharedStrings.xml><?xml version="1.0" encoding="utf-8"?>
<sst xmlns="http://schemas.openxmlformats.org/spreadsheetml/2006/main" count="201" uniqueCount="73">
  <si>
    <t>Inpatient</t>
  </si>
  <si>
    <t>nursing</t>
  </si>
  <si>
    <t xml:space="preserve">   Nursing</t>
  </si>
  <si>
    <t>Outpatient</t>
  </si>
  <si>
    <t>Prescribed</t>
  </si>
  <si>
    <t>Year</t>
  </si>
  <si>
    <t>Hospital</t>
  </si>
  <si>
    <t>ICF/MR</t>
  </si>
  <si>
    <t>Other</t>
  </si>
  <si>
    <t>facility</t>
  </si>
  <si>
    <t xml:space="preserve">  Physician</t>
  </si>
  <si>
    <t>1975</t>
  </si>
  <si>
    <t>---</t>
  </si>
  <si>
    <t>--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</si>
  <si>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</si>
  <si>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</si>
  <si>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</si>
  <si>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</si>
  <si>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</si>
  <si>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</si>
  <si>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</si>
  <si>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</si>
  <si>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</si>
  <si>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</si>
  <si>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</si>
  <si>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</si>
  <si>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</si>
  <si>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</si>
  <si>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</si>
  <si>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</si>
  <si>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</si>
  <si>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</si>
  <si>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</si>
  <si>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See footnotes at end of table.</t>
  </si>
  <si>
    <t/>
  </si>
  <si>
    <t>Physician</t>
  </si>
  <si>
    <t xml:space="preserve"> Nursing</t>
  </si>
  <si>
    <t xml:space="preserve">   Facility</t>
  </si>
  <si>
    <t xml:space="preserve"> Facility</t>
  </si>
  <si>
    <t>Table 13.13</t>
  </si>
  <si>
    <t>Table 13.13—Continued</t>
  </si>
  <si>
    <r>
      <t xml:space="preserve">   Total </t>
    </r>
    <r>
      <rPr>
        <vertAlign val="superscript"/>
        <sz val="8"/>
        <rFont val="Arial"/>
        <family val="2"/>
      </rPr>
      <t>1</t>
    </r>
  </si>
  <si>
    <t>Medicaid Payments per Person Served (Beneficiary), Children, by Type of Service:</t>
  </si>
  <si>
    <t xml:space="preserve">     Outpatient</t>
  </si>
  <si>
    <t xml:space="preserve"> Home</t>
  </si>
  <si>
    <t>Home</t>
  </si>
  <si>
    <t xml:space="preserve">   Drugs</t>
  </si>
  <si>
    <t xml:space="preserve">    Drugs</t>
  </si>
  <si>
    <t xml:space="preserve">  Hospital</t>
  </si>
  <si>
    <t xml:space="preserve">Medicaid Payments per Person Served (Beneficiary), Children, by Type of Service: </t>
  </si>
  <si>
    <t>some not shown separately.</t>
  </si>
  <si>
    <t>that may be misleading.</t>
  </si>
  <si>
    <r>
      <t>1</t>
    </r>
    <r>
      <rPr>
        <sz val="7"/>
        <rFont val="Arial"/>
        <family val="2"/>
      </rPr>
      <t xml:space="preserve">The total includes payments for all types of services reported on the HCFA Form-2082 and in the Medicaid Statistical Information System (MSIS), </t>
    </r>
  </si>
  <si>
    <t xml:space="preserve">changes in the definitions of related categories of service. Reporting for 1998 added categories of service for personal care support services and </t>
  </si>
  <si>
    <t xml:space="preserve">home and community-based waiver services ( category not shown separately in table). In 1999 the home and community-based waiver services were </t>
  </si>
  <si>
    <t>reclassified into the other related categories of service (category not shown separately in table).</t>
  </si>
  <si>
    <t xml:space="preserve">Recipients, Payments, and Services (HCFA 2082), Medicaid Statistical Information System (MSIS), and the personal health care consumption </t>
  </si>
  <si>
    <r>
      <t xml:space="preserve">   Health </t>
    </r>
    <r>
      <rPr>
        <vertAlign val="superscript"/>
        <sz val="8"/>
        <rFont val="Arial"/>
        <family val="2"/>
      </rPr>
      <t>2</t>
    </r>
  </si>
  <si>
    <r>
      <t>2</t>
    </r>
    <r>
      <rPr>
        <sz val="7"/>
        <rFont val="Arial"/>
        <family val="2"/>
      </rPr>
      <t xml:space="preserve">Trend in average payment per beneficiary (person served) for home health care are not strictly comparable to 1997 and prior years because of </t>
    </r>
  </si>
  <si>
    <r>
      <t>3</t>
    </r>
    <r>
      <rPr>
        <sz val="7"/>
        <rFont val="Arial"/>
        <family val="2"/>
      </rPr>
      <t xml:space="preserve">Average payment per person served are not shown for these categories.  The small number of users causes large fluctuations in the time series </t>
    </r>
  </si>
  <si>
    <t xml:space="preserve">NOTES: Beginning fiscal year 1998, capitated premiums for Medicaid eligibles enrolled in managed care plans were included in this series as a component </t>
  </si>
  <si>
    <t xml:space="preserve">year was updated to the year 2005. PCE health care services now exclude eye exams (currently classified in PCE goods under corrective eyeglasses </t>
  </si>
  <si>
    <t xml:space="preserve">and contact lenses), and net health insurance (now classified under insurance services). As a result of the PCE classification change, all PCE series </t>
  </si>
  <si>
    <t xml:space="preserve">were restated for the entire historical period to reflect the new PCE classification structure. ICF/MR is intermediate care facility for the mentally retarded. </t>
  </si>
  <si>
    <t xml:space="preserve">of the total payment per person served (beneficiary). Dollar amounts are adjusted using a personal consumption expenditure index for health care </t>
  </si>
  <si>
    <t xml:space="preserve">revision of the national accounts in July of 2009, BEA introduced a new classification system for Personal Consumption Expenditures (PCE). With </t>
  </si>
  <si>
    <t xml:space="preserve">the new classification system and the release of the comprehensive revision estimates, components of medical care were changed, and the base </t>
  </si>
  <si>
    <t>Beneficiaries covered under SCHIP and their payments are excluded from Medicaid.</t>
  </si>
  <si>
    <t>indices form the U.S. Department of Commerce; data development by the Office of Information Products and Data Analytics.</t>
  </si>
  <si>
    <t xml:space="preserve">services, U.S. Department of Commerce, Bureau of Economic Analysis (BEA), expressed in fiscal year 2010 dollars. With the release of the comprehensive </t>
  </si>
  <si>
    <t>Fiscal Years 1975-2010</t>
  </si>
  <si>
    <t>(Constant 2010 Dollars)</t>
  </si>
  <si>
    <t xml:space="preserve">SOURCES: Centers for Medicare &amp; Medicaid Services, Center for Medicaid and CHIP Services: Statistical Report on Medical Care: Eligibles,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</si>
</sst>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5" formatCode="&quot;$&quot;#,##0_);\(&quot;$&quot;#,##0\)"/>
    <numFmt numFmtId="43" formatCode="_(* #,##0.00_);_(* \(#,##0.00\);_(* &quot;-&quot;??_);_(@_)"/>
    <numFmt numFmtId="164" formatCode="General_)"/>
    <numFmt numFmtId="165" formatCode=";;;"/>
    <numFmt numFmtId="166" formatCode="_(* #,##0_);_(* \(#,##0\);_(* &quot;-&quot;??_);_(@_)"/>
    <numFmt numFmtId="167" formatCode="&quot;$&quot;#,##0"/>
  </numFmts>
  <fonts count="12" x14ac:knownFonts="1">
    <font>
      <sz val="10"/>
      <name val="Helv"/>
    </font>
    <font>
      <sz val="10"/>
      <name val="Arial"/>
      <family val="2"/>
    </font>
    <font>
      <sz val="8"/>
      <name val="Helv"/>
    </font>
    <font>
      <sz val="7"/>
      <name val="Helv"/>
    </font>
    <font>
      <sz val="7"/>
      <name val="Helv"/>
      <family val="2"/>
    </font>
    <font>
      <b/>
      <sz val="10"/>
      <name val="Arial"/>
      <family val="2"/>
    </font>
    <font>
      <sz val="10"/>
      <name val="Arial"/>
      <family val="2"/>
    </font>
    <font>
      <sz val="7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vertAlign val="superscript"/>
      <sz val="8"/>
      <name val="Arial"/>
      <family val="2"/>
    </font>
    <font>
      <sz val="6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76">
    <xf numFmtId="164" fontId="0" fillId="0" borderId="0" xfId="0"/>
    <xf numFmtId="164" fontId="2" fillId="0" borderId="0" xfId="0" applyFont="1"/>
    <xf numFmtId="164" fontId="3" fillId="0" borderId="0" xfId="0" applyFont="1"/>
    <xf numFmtId="164" fontId="0" fillId="0" borderId="0" xfId="0" applyAlignment="1">
      <alignment vertical="top"/>
    </xf>
    <xf numFmtId="164" fontId="0" fillId="0" borderId="0" xfId="0" applyAlignment="1">
      <alignment vertical="center"/>
    </xf>
    <xf numFmtId="164" fontId="4" fillId="0" borderId="0" xfId="0" applyFont="1"/>
    <xf numFmtId="164" fontId="6" fillId="0" borderId="0" xfId="0" applyFont="1" applyAlignment="1">
      <alignment vertical="top"/>
    </xf>
    <xf numFmtId="164" fontId="6" fillId="0" borderId="0" xfId="0" applyFont="1" applyAlignment="1">
      <alignment vertical="center"/>
    </xf>
    <xf numFmtId="164" fontId="6" fillId="0" borderId="0" xfId="0" applyFont="1"/>
    <xf numFmtId="164" fontId="8" fillId="0" borderId="0" xfId="0" applyFont="1"/>
    <xf numFmtId="164" fontId="9" fillId="0" borderId="0" xfId="0" quotePrefix="1" applyNumberFormat="1" applyFont="1" applyBorder="1" applyAlignment="1" applyProtection="1">
      <alignment horizontal="left"/>
    </xf>
    <xf numFmtId="164" fontId="7" fillId="0" borderId="0" xfId="0" applyFont="1" applyBorder="1"/>
    <xf numFmtId="164" fontId="7" fillId="0" borderId="0" xfId="0" applyFont="1"/>
    <xf numFmtId="164" fontId="9" fillId="0" borderId="0" xfId="0" applyNumberFormat="1" applyFont="1" applyAlignment="1" applyProtection="1">
      <alignment horizontal="left"/>
    </xf>
    <xf numFmtId="164" fontId="7" fillId="0" borderId="0" xfId="0" applyNumberFormat="1" applyFont="1" applyAlignment="1" applyProtection="1">
      <alignment horizontal="left"/>
    </xf>
    <xf numFmtId="164" fontId="7" fillId="0" borderId="0" xfId="0" applyFont="1" applyAlignment="1" applyProtection="1">
      <alignment horizontal="left"/>
    </xf>
    <xf numFmtId="164" fontId="7" fillId="0" borderId="0" xfId="0" quotePrefix="1" applyFont="1" applyAlignment="1" applyProtection="1">
      <alignment horizontal="left"/>
    </xf>
    <xf numFmtId="164" fontId="7" fillId="0" borderId="0" xfId="0" quotePrefix="1" applyFont="1" applyAlignment="1">
      <alignment horizontal="left"/>
    </xf>
    <xf numFmtId="164" fontId="8" fillId="0" borderId="0" xfId="0" applyNumberFormat="1" applyFont="1" applyBorder="1" applyProtection="1"/>
    <xf numFmtId="164" fontId="8" fillId="0" borderId="0" xfId="0" applyFont="1" applyBorder="1"/>
    <xf numFmtId="164" fontId="8" fillId="0" borderId="0" xfId="0" applyNumberFormat="1" applyFont="1" applyBorder="1" applyAlignment="1" applyProtection="1">
      <alignment horizontal="center"/>
    </xf>
    <xf numFmtId="37" fontId="8" fillId="0" borderId="0" xfId="0" applyNumberFormat="1" applyFont="1" applyBorder="1" applyProtection="1"/>
    <xf numFmtId="164" fontId="8" fillId="0" borderId="0" xfId="0" applyNumberFormat="1" applyFont="1" applyBorder="1" applyAlignment="1" applyProtection="1">
      <alignment horizontal="left"/>
    </xf>
    <xf numFmtId="164" fontId="8" fillId="0" borderId="0" xfId="0" applyNumberFormat="1" applyFont="1" applyAlignment="1" applyProtection="1">
      <alignment horizontal="left"/>
    </xf>
    <xf numFmtId="164" fontId="8" fillId="0" borderId="0" xfId="0" applyNumberFormat="1" applyFont="1" applyAlignment="1" applyProtection="1">
      <alignment horizontal="center"/>
    </xf>
    <xf numFmtId="37" fontId="8" fillId="0" borderId="0" xfId="0" applyNumberFormat="1" applyFont="1" applyProtection="1"/>
    <xf numFmtId="164" fontId="8" fillId="0" borderId="1" xfId="0" applyNumberFormat="1" applyFont="1" applyBorder="1" applyAlignment="1" applyProtection="1">
      <alignment horizontal="left"/>
    </xf>
    <xf numFmtId="164" fontId="8" fillId="0" borderId="1" xfId="0" applyFont="1" applyBorder="1"/>
    <xf numFmtId="164" fontId="8" fillId="0" borderId="1" xfId="0" applyNumberFormat="1" applyFont="1" applyBorder="1" applyAlignment="1" applyProtection="1">
      <alignment horizontal="center"/>
    </xf>
    <xf numFmtId="164" fontId="8" fillId="0" borderId="1" xfId="0" quotePrefix="1" applyFont="1" applyBorder="1" applyAlignment="1" applyProtection="1">
      <alignment horizontal="left"/>
    </xf>
    <xf numFmtId="164" fontId="8" fillId="0" borderId="2" xfId="0" applyNumberFormat="1" applyFont="1" applyBorder="1" applyAlignment="1" applyProtection="1">
      <alignment horizontal="left"/>
    </xf>
    <xf numFmtId="164" fontId="8" fillId="0" borderId="2" xfId="0" applyFont="1" applyBorder="1"/>
    <xf numFmtId="5" fontId="8" fillId="0" borderId="2" xfId="0" applyNumberFormat="1" applyFont="1" applyBorder="1" applyProtection="1"/>
    <xf numFmtId="165" fontId="8" fillId="0" borderId="2" xfId="0" applyNumberFormat="1" applyFont="1" applyBorder="1" applyProtection="1"/>
    <xf numFmtId="37" fontId="8" fillId="0" borderId="0" xfId="0" applyNumberFormat="1" applyFont="1" applyAlignment="1" applyProtection="1">
      <alignment horizontal="center"/>
    </xf>
    <xf numFmtId="5" fontId="8" fillId="0" borderId="0" xfId="0" applyNumberFormat="1" applyFont="1" applyAlignment="1" applyProtection="1">
      <alignment horizontal="right"/>
    </xf>
    <xf numFmtId="165" fontId="8" fillId="0" borderId="0" xfId="0" applyNumberFormat="1" applyFont="1" applyProtection="1"/>
    <xf numFmtId="37" fontId="8" fillId="0" borderId="0" xfId="0" applyNumberFormat="1" applyFont="1" applyAlignment="1" applyProtection="1">
      <alignment horizontal="right"/>
    </xf>
    <xf numFmtId="164" fontId="8" fillId="0" borderId="0" xfId="0" applyNumberFormat="1" applyFont="1" applyProtection="1"/>
    <xf numFmtId="164" fontId="8" fillId="0" borderId="0" xfId="0" applyFont="1" applyAlignment="1" applyProtection="1">
      <alignment horizontal="left"/>
    </xf>
    <xf numFmtId="164" fontId="8" fillId="0" borderId="0" xfId="0" quotePrefix="1" applyNumberFormat="1" applyFont="1" applyBorder="1" applyAlignment="1" applyProtection="1">
      <alignment horizontal="left"/>
    </xf>
    <xf numFmtId="37" fontId="8" fillId="0" borderId="1" xfId="0" applyNumberFormat="1" applyFont="1" applyBorder="1" applyProtection="1"/>
    <xf numFmtId="5" fontId="8" fillId="0" borderId="0" xfId="1" applyNumberFormat="1" applyFont="1" applyProtection="1"/>
    <xf numFmtId="5" fontId="8" fillId="0" borderId="0" xfId="0" applyNumberFormat="1" applyFont="1" applyProtection="1"/>
    <xf numFmtId="166" fontId="8" fillId="0" borderId="0" xfId="1" applyNumberFormat="1" applyFont="1" applyProtection="1"/>
    <xf numFmtId="166" fontId="8" fillId="0" borderId="0" xfId="1" applyNumberFormat="1" applyFont="1" applyBorder="1" applyProtection="1"/>
    <xf numFmtId="164" fontId="2" fillId="0" borderId="0" xfId="0" applyFont="1" applyBorder="1"/>
    <xf numFmtId="166" fontId="8" fillId="0" borderId="1" xfId="1" applyNumberFormat="1" applyFont="1" applyBorder="1" applyProtection="1"/>
    <xf numFmtId="164" fontId="6" fillId="0" borderId="0" xfId="0" applyFont="1" applyBorder="1" applyAlignment="1">
      <alignment vertical="center"/>
    </xf>
    <xf numFmtId="164" fontId="0" fillId="0" borderId="0" xfId="0" applyBorder="1" applyAlignment="1">
      <alignment vertical="center"/>
    </xf>
    <xf numFmtId="164" fontId="5" fillId="0" borderId="0" xfId="0" applyNumberFormat="1" applyFont="1" applyBorder="1" applyAlignment="1" applyProtection="1">
      <alignment horizontal="centerContinuous" vertical="center"/>
    </xf>
    <xf numFmtId="164" fontId="5" fillId="0" borderId="1" xfId="0" applyNumberFormat="1" applyFont="1" applyBorder="1" applyAlignment="1" applyProtection="1">
      <alignment horizontal="centerContinuous" vertical="center"/>
    </xf>
    <xf numFmtId="164" fontId="8" fillId="0" borderId="0" xfId="0" applyNumberFormat="1" applyFont="1" applyAlignment="1" applyProtection="1">
      <alignment horizontal="right"/>
    </xf>
    <xf numFmtId="164" fontId="8" fillId="0" borderId="0" xfId="0" applyNumberFormat="1" applyFont="1" applyBorder="1" applyAlignment="1" applyProtection="1">
      <alignment horizontal="right"/>
    </xf>
    <xf numFmtId="3" fontId="8" fillId="0" borderId="0" xfId="0" applyNumberFormat="1" applyFont="1" applyProtection="1"/>
    <xf numFmtId="3" fontId="8" fillId="0" borderId="0" xfId="0" applyNumberFormat="1" applyFont="1" applyAlignment="1" applyProtection="1"/>
    <xf numFmtId="167" fontId="8" fillId="0" borderId="2" xfId="0" applyNumberFormat="1" applyFont="1" applyBorder="1" applyProtection="1"/>
    <xf numFmtId="164" fontId="7" fillId="0" borderId="0" xfId="0" applyNumberFormat="1" applyFont="1" applyAlignment="1" applyProtection="1">
      <alignment horizontal="left" vertical="center"/>
    </xf>
    <xf numFmtId="164" fontId="7" fillId="0" borderId="0" xfId="0" applyNumberFormat="1" applyFont="1" applyBorder="1" applyAlignment="1" applyProtection="1">
      <alignment horizontal="left" vertical="center"/>
    </xf>
    <xf numFmtId="164" fontId="0" fillId="0" borderId="0" xfId="0" applyFont="1"/>
    <xf numFmtId="164" fontId="9" fillId="0" borderId="0" xfId="0" quotePrefix="1" applyNumberFormat="1" applyFont="1" applyBorder="1" applyAlignment="1" applyProtection="1">
      <alignment horizontal="left" vertical="center"/>
    </xf>
    <xf numFmtId="164" fontId="8" fillId="0" borderId="0" xfId="0" applyFont="1" applyBorder="1" applyAlignment="1">
      <alignment vertical="center"/>
    </xf>
    <xf numFmtId="164" fontId="7" fillId="0" borderId="0" xfId="0" applyFont="1" applyBorder="1" applyAlignment="1">
      <alignment vertical="center"/>
    </xf>
    <xf numFmtId="164" fontId="7" fillId="0" borderId="0" xfId="0" applyFont="1" applyAlignment="1">
      <alignment vertical="center"/>
    </xf>
    <xf numFmtId="164" fontId="4" fillId="0" borderId="0" xfId="0" applyFont="1" applyAlignment="1">
      <alignment vertical="center"/>
    </xf>
    <xf numFmtId="164" fontId="8" fillId="0" borderId="0" xfId="0" applyNumberFormat="1" applyFont="1" applyAlignment="1" applyProtection="1">
      <alignment horizontal="left" vertical="center"/>
    </xf>
    <xf numFmtId="164" fontId="8" fillId="0" borderId="0" xfId="0" applyFont="1" applyAlignment="1">
      <alignment vertical="center"/>
    </xf>
    <xf numFmtId="37" fontId="8" fillId="0" borderId="0" xfId="0" applyNumberFormat="1" applyFont="1" applyAlignment="1" applyProtection="1">
      <alignment vertical="center"/>
    </xf>
    <xf numFmtId="37" fontId="8" fillId="0" borderId="0" xfId="0" applyNumberFormat="1" applyFont="1" applyAlignment="1" applyProtection="1">
      <alignment horizontal="right" vertical="center"/>
    </xf>
    <xf numFmtId="3" fontId="8" fillId="0" borderId="0" xfId="0" applyNumberFormat="1" applyFont="1" applyAlignment="1" applyProtection="1">
      <alignment vertical="center"/>
    </xf>
    <xf numFmtId="37" fontId="11" fillId="0" borderId="0" xfId="0" applyNumberFormat="1" applyFont="1" applyAlignment="1" applyProtection="1">
      <alignment horizontal="center"/>
    </xf>
    <xf numFmtId="37" fontId="11" fillId="0" borderId="0" xfId="0" applyNumberFormat="1" applyFont="1" applyAlignment="1" applyProtection="1">
      <alignment horizontal="center" vertical="center"/>
    </xf>
    <xf numFmtId="37" fontId="11" fillId="0" borderId="0" xfId="0" applyNumberFormat="1" applyFont="1" applyBorder="1" applyAlignment="1" applyProtection="1">
      <alignment horizontal="center"/>
    </xf>
    <xf numFmtId="37" fontId="11" fillId="0" borderId="1" xfId="0" applyNumberFormat="1" applyFont="1" applyBorder="1" applyAlignment="1" applyProtection="1">
      <alignment horizontal="center"/>
    </xf>
    <xf numFmtId="164" fontId="8" fillId="0" borderId="0" xfId="0" applyFont="1" applyBorder="1" applyAlignment="1" applyProtection="1">
      <alignment horizontal="center"/>
    </xf>
    <xf numFmtId="164" fontId="5" fillId="0" borderId="0" xfId="0" applyNumberFormat="1" applyFont="1" applyAlignment="1" applyProtection="1">
      <alignment horizontal="center" vertical="top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Z111"/>
  <sheetViews>
    <sheetView showGridLines="0" tabSelected="1" zoomScale="110" zoomScaleNormal="110" zoomScaleSheetLayoutView="75" workbookViewId="0">
      <selection sqref="A1:W1"/>
    </sheetView>
  </sheetViews>
  <sheetFormatPr defaultColWidth="11.7109375" defaultRowHeight="12.75" x14ac:dyDescent="0.2"/>
  <cols>
    <col min="1" max="1" width="6.7109375" style="8" customWidth="1"/>
    <col min="2" max="2" width="2.7109375" style="8" customWidth="1"/>
    <col min="3" max="3" width="6.5703125" style="8" customWidth="1"/>
    <col min="4" max="4" width="5.7109375" style="8" customWidth="1"/>
    <col min="5" max="5" width="6.7109375" style="8" customWidth="1"/>
    <col min="6" max="6" width="3.7109375" style="8" customWidth="1"/>
    <col min="7" max="7" width="6.7109375" style="8" customWidth="1"/>
    <col min="8" max="8" width="2.7109375" style="8" customWidth="1"/>
    <col min="9" max="12" width="0" style="8" hidden="1" customWidth="1"/>
    <col min="13" max="13" width="6.7109375" style="8" customWidth="1"/>
    <col min="14" max="14" width="2.7109375" style="8" customWidth="1"/>
    <col min="15" max="15" width="5.7109375" style="8" customWidth="1"/>
    <col min="16" max="16" width="2.7109375" style="8" customWidth="1"/>
    <col min="17" max="17" width="8.7109375" style="8" customWidth="1"/>
    <col min="18" max="18" width="2.7109375" style="8" customWidth="1"/>
    <col min="19" max="19" width="6.7109375" style="8" customWidth="1"/>
    <col min="20" max="20" width="3.7109375" style="8" customWidth="1"/>
    <col min="21" max="21" width="0.42578125" style="8" hidden="1" customWidth="1"/>
    <col min="22" max="22" width="5.5703125" style="8" customWidth="1"/>
    <col min="23" max="23" width="2.7109375" style="8" customWidth="1"/>
    <col min="24" max="24" width="11.7109375" style="8"/>
  </cols>
  <sheetData>
    <row r="1" spans="1:24" s="3" customFormat="1" ht="15" customHeight="1" x14ac:dyDescent="0.2">
      <c r="A1" s="75" t="s">
        <v>39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6"/>
    </row>
    <row r="2" spans="1:24" s="49" customFormat="1" ht="15" customHeight="1" x14ac:dyDescent="0.2">
      <c r="A2" s="50" t="s">
        <v>42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48"/>
    </row>
    <row r="3" spans="1:24" s="4" customFormat="1" ht="15" customHeight="1" x14ac:dyDescent="0.2">
      <c r="A3" s="51" t="s">
        <v>70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7"/>
    </row>
    <row r="4" spans="1:24" s="1" customFormat="1" ht="10.15" customHeight="1" x14ac:dyDescent="0.2">
      <c r="A4" s="18"/>
      <c r="B4" s="19"/>
      <c r="C4" s="19"/>
      <c r="D4" s="19"/>
      <c r="E4" s="20" t="s">
        <v>0</v>
      </c>
      <c r="F4" s="21"/>
      <c r="G4" s="19"/>
      <c r="H4" s="19"/>
      <c r="I4" s="19"/>
      <c r="J4" s="19"/>
      <c r="K4" s="20" t="s">
        <v>1</v>
      </c>
      <c r="L4" s="19"/>
      <c r="M4" s="22" t="s">
        <v>2</v>
      </c>
      <c r="N4" s="19"/>
      <c r="O4" s="19"/>
      <c r="P4" s="19"/>
      <c r="Q4" s="22" t="s">
        <v>43</v>
      </c>
      <c r="R4" s="19"/>
      <c r="S4" s="20" t="s">
        <v>44</v>
      </c>
      <c r="T4" s="20"/>
      <c r="U4" s="20"/>
      <c r="V4" s="22" t="s">
        <v>4</v>
      </c>
      <c r="W4" s="19"/>
      <c r="X4" s="9"/>
    </row>
    <row r="5" spans="1:24" s="1" customFormat="1" ht="13.5" customHeight="1" x14ac:dyDescent="0.2">
      <c r="A5" s="23" t="s">
        <v>5</v>
      </c>
      <c r="B5" s="9"/>
      <c r="C5" s="23" t="s">
        <v>41</v>
      </c>
      <c r="D5" s="9"/>
      <c r="E5" s="24" t="s">
        <v>6</v>
      </c>
      <c r="F5" s="25"/>
      <c r="G5" s="26" t="s">
        <v>7</v>
      </c>
      <c r="H5" s="27"/>
      <c r="I5" s="28" t="s">
        <v>8</v>
      </c>
      <c r="J5" s="27"/>
      <c r="K5" s="28" t="s">
        <v>9</v>
      </c>
      <c r="L5" s="27"/>
      <c r="M5" s="26" t="s">
        <v>37</v>
      </c>
      <c r="N5" s="9"/>
      <c r="O5" s="23" t="s">
        <v>10</v>
      </c>
      <c r="P5" s="9"/>
      <c r="Q5" s="52" t="s">
        <v>6</v>
      </c>
      <c r="R5" s="9"/>
      <c r="S5" s="29" t="s">
        <v>57</v>
      </c>
      <c r="T5" s="24"/>
      <c r="U5" s="24"/>
      <c r="V5" s="23" t="s">
        <v>47</v>
      </c>
      <c r="W5" s="27"/>
      <c r="X5" s="9"/>
    </row>
    <row r="6" spans="1:24" s="1" customFormat="1" ht="12" customHeight="1" x14ac:dyDescent="0.2">
      <c r="A6" s="30" t="s">
        <v>11</v>
      </c>
      <c r="B6" s="31"/>
      <c r="C6" s="32">
        <v>228</v>
      </c>
      <c r="D6" s="33"/>
      <c r="E6" s="32">
        <v>895</v>
      </c>
      <c r="F6" s="33"/>
      <c r="G6" s="70">
        <v>-3</v>
      </c>
      <c r="H6" s="9"/>
      <c r="I6" s="34" t="s">
        <v>12</v>
      </c>
      <c r="J6" s="9"/>
      <c r="K6" s="35" t="s">
        <v>13</v>
      </c>
      <c r="L6" s="9"/>
      <c r="M6" s="70">
        <v>-3</v>
      </c>
      <c r="N6" s="31"/>
      <c r="O6" s="32">
        <v>60</v>
      </c>
      <c r="P6" s="31"/>
      <c r="Q6" s="32">
        <v>40</v>
      </c>
      <c r="R6" s="31"/>
      <c r="S6" s="32">
        <v>143</v>
      </c>
      <c r="T6" s="32"/>
      <c r="U6" s="32"/>
      <c r="V6" s="56">
        <v>23</v>
      </c>
      <c r="W6" s="9"/>
      <c r="X6" s="9"/>
    </row>
    <row r="7" spans="1:24" s="1" customFormat="1" ht="11.25" customHeight="1" x14ac:dyDescent="0.2">
      <c r="A7" s="23" t="s">
        <v>14</v>
      </c>
      <c r="B7" s="9"/>
      <c r="C7" s="25">
        <v>245</v>
      </c>
      <c r="D7" s="36"/>
      <c r="E7" s="25">
        <v>1007</v>
      </c>
      <c r="F7" s="36"/>
      <c r="G7" s="70">
        <v>-3</v>
      </c>
      <c r="H7" s="9"/>
      <c r="I7" s="37" t="s">
        <v>13</v>
      </c>
      <c r="J7" s="9"/>
      <c r="K7" s="37" t="s">
        <v>13</v>
      </c>
      <c r="L7" s="9"/>
      <c r="M7" s="70">
        <v>-3</v>
      </c>
      <c r="N7" s="9"/>
      <c r="O7" s="25">
        <v>64</v>
      </c>
      <c r="P7" s="9"/>
      <c r="Q7" s="25">
        <v>54</v>
      </c>
      <c r="R7" s="9"/>
      <c r="S7" s="25">
        <v>231</v>
      </c>
      <c r="T7" s="25"/>
      <c r="U7" s="25"/>
      <c r="V7" s="54">
        <v>21</v>
      </c>
      <c r="W7" s="9"/>
      <c r="X7" s="9"/>
    </row>
    <row r="8" spans="1:24" s="1" customFormat="1" ht="11.25" customHeight="1" x14ac:dyDescent="0.2">
      <c r="A8" s="23" t="s">
        <v>15</v>
      </c>
      <c r="B8" s="9"/>
      <c r="C8" s="25">
        <v>270</v>
      </c>
      <c r="D8" s="36"/>
      <c r="E8" s="25">
        <v>1128</v>
      </c>
      <c r="F8" s="36"/>
      <c r="G8" s="70">
        <v>-3</v>
      </c>
      <c r="H8" s="9"/>
      <c r="I8" s="37" t="s">
        <v>13</v>
      </c>
      <c r="J8" s="9"/>
      <c r="K8" s="37" t="s">
        <v>13</v>
      </c>
      <c r="L8" s="9"/>
      <c r="M8" s="70">
        <v>-3</v>
      </c>
      <c r="N8" s="9"/>
      <c r="O8" s="25">
        <v>66</v>
      </c>
      <c r="P8" s="9"/>
      <c r="Q8" s="25">
        <v>86</v>
      </c>
      <c r="R8" s="9"/>
      <c r="S8" s="25">
        <v>281</v>
      </c>
      <c r="T8" s="25"/>
      <c r="U8" s="25"/>
      <c r="V8" s="54">
        <v>21</v>
      </c>
      <c r="W8" s="9"/>
      <c r="X8" s="9"/>
    </row>
    <row r="9" spans="1:24" s="1" customFormat="1" ht="11.25" customHeight="1" x14ac:dyDescent="0.2">
      <c r="A9" s="23" t="s">
        <v>16</v>
      </c>
      <c r="B9" s="9"/>
      <c r="C9" s="25">
        <v>293</v>
      </c>
      <c r="D9" s="36"/>
      <c r="E9" s="25">
        <v>1232</v>
      </c>
      <c r="F9" s="36"/>
      <c r="G9" s="70">
        <v>-3</v>
      </c>
      <c r="H9" s="9"/>
      <c r="I9" s="37" t="s">
        <v>13</v>
      </c>
      <c r="J9" s="9"/>
      <c r="K9" s="37" t="s">
        <v>13</v>
      </c>
      <c r="L9" s="9"/>
      <c r="M9" s="70">
        <v>-3</v>
      </c>
      <c r="N9" s="9"/>
      <c r="O9" s="25">
        <v>70</v>
      </c>
      <c r="P9" s="9"/>
      <c r="Q9" s="25">
        <v>83</v>
      </c>
      <c r="R9" s="9"/>
      <c r="S9" s="25">
        <v>168</v>
      </c>
      <c r="T9" s="25"/>
      <c r="U9" s="25"/>
      <c r="V9" s="54">
        <v>22</v>
      </c>
      <c r="W9" s="9"/>
      <c r="X9" s="9"/>
    </row>
    <row r="10" spans="1:24" s="1" customFormat="1" ht="11.25" customHeight="1" x14ac:dyDescent="0.2">
      <c r="A10" s="23" t="s">
        <v>17</v>
      </c>
      <c r="B10" s="9"/>
      <c r="C10" s="25">
        <v>317</v>
      </c>
      <c r="D10" s="36"/>
      <c r="E10" s="25">
        <v>1413</v>
      </c>
      <c r="F10" s="36"/>
      <c r="G10" s="70">
        <v>-3</v>
      </c>
      <c r="H10" s="9"/>
      <c r="I10" s="37" t="s">
        <v>13</v>
      </c>
      <c r="J10" s="9"/>
      <c r="K10" s="37" t="s">
        <v>13</v>
      </c>
      <c r="L10" s="9"/>
      <c r="M10" s="70">
        <v>-3</v>
      </c>
      <c r="N10" s="9"/>
      <c r="O10" s="25">
        <v>73</v>
      </c>
      <c r="P10" s="9"/>
      <c r="Q10" s="25">
        <v>88</v>
      </c>
      <c r="R10" s="9"/>
      <c r="S10" s="25">
        <v>180</v>
      </c>
      <c r="T10" s="25"/>
      <c r="U10" s="25"/>
      <c r="V10" s="54">
        <v>25</v>
      </c>
      <c r="W10" s="9"/>
      <c r="X10" s="9"/>
    </row>
    <row r="11" spans="1:24" s="1" customFormat="1" ht="11.25" customHeight="1" x14ac:dyDescent="0.2">
      <c r="A11" s="23" t="s">
        <v>18</v>
      </c>
      <c r="B11" s="9"/>
      <c r="C11" s="25">
        <v>335</v>
      </c>
      <c r="D11" s="36"/>
      <c r="E11" s="25">
        <v>1509</v>
      </c>
      <c r="F11" s="36"/>
      <c r="G11" s="70">
        <v>-3</v>
      </c>
      <c r="H11" s="9"/>
      <c r="I11" s="37" t="s">
        <v>13</v>
      </c>
      <c r="J11" s="9"/>
      <c r="K11" s="37" t="s">
        <v>13</v>
      </c>
      <c r="L11" s="9"/>
      <c r="M11" s="70">
        <v>-3</v>
      </c>
      <c r="N11" s="9"/>
      <c r="O11" s="25">
        <v>87</v>
      </c>
      <c r="P11" s="9"/>
      <c r="Q11" s="25">
        <v>90</v>
      </c>
      <c r="R11" s="9"/>
      <c r="S11" s="25">
        <v>105</v>
      </c>
      <c r="T11" s="25"/>
      <c r="U11" s="25"/>
      <c r="V11" s="54">
        <v>28</v>
      </c>
      <c r="W11" s="9"/>
      <c r="X11" s="9"/>
    </row>
    <row r="12" spans="1:24" s="1" customFormat="1" ht="11.25" customHeight="1" x14ac:dyDescent="0.2">
      <c r="A12" s="23" t="s">
        <v>19</v>
      </c>
      <c r="B12" s="9"/>
      <c r="C12" s="25">
        <v>366</v>
      </c>
      <c r="D12" s="36"/>
      <c r="E12" s="25">
        <v>1671</v>
      </c>
      <c r="F12" s="36"/>
      <c r="G12" s="70">
        <v>-3</v>
      </c>
      <c r="H12" s="9"/>
      <c r="I12" s="37" t="s">
        <v>13</v>
      </c>
      <c r="J12" s="9"/>
      <c r="K12" s="37" t="s">
        <v>13</v>
      </c>
      <c r="L12" s="9"/>
      <c r="M12" s="70">
        <v>-3</v>
      </c>
      <c r="N12" s="9"/>
      <c r="O12" s="25">
        <v>90</v>
      </c>
      <c r="P12" s="9"/>
      <c r="Q12" s="25">
        <v>115</v>
      </c>
      <c r="R12" s="9"/>
      <c r="S12" s="25">
        <v>94</v>
      </c>
      <c r="T12" s="25"/>
      <c r="U12" s="25"/>
      <c r="V12" s="54">
        <v>29</v>
      </c>
      <c r="W12" s="9"/>
      <c r="X12" s="9"/>
    </row>
    <row r="13" spans="1:24" s="1" customFormat="1" ht="11.25" customHeight="1" x14ac:dyDescent="0.2">
      <c r="A13" s="23" t="s">
        <v>20</v>
      </c>
      <c r="B13" s="9"/>
      <c r="C13" s="25">
        <v>363</v>
      </c>
      <c r="D13" s="36"/>
      <c r="E13" s="25">
        <v>1838</v>
      </c>
      <c r="F13" s="36"/>
      <c r="G13" s="70">
        <v>-3</v>
      </c>
      <c r="H13" s="9"/>
      <c r="I13" s="37" t="s">
        <v>13</v>
      </c>
      <c r="J13" s="9"/>
      <c r="K13" s="37" t="s">
        <v>13</v>
      </c>
      <c r="L13" s="9"/>
      <c r="M13" s="70">
        <v>-3</v>
      </c>
      <c r="N13" s="9"/>
      <c r="O13" s="25">
        <v>93</v>
      </c>
      <c r="P13" s="9"/>
      <c r="Q13" s="25">
        <v>116</v>
      </c>
      <c r="R13" s="9"/>
      <c r="S13" s="25">
        <v>131</v>
      </c>
      <c r="T13" s="25"/>
      <c r="U13" s="25"/>
      <c r="V13" s="54">
        <v>31</v>
      </c>
      <c r="W13" s="9"/>
      <c r="X13" s="9"/>
    </row>
    <row r="14" spans="1:24" s="1" customFormat="1" ht="11.25" customHeight="1" x14ac:dyDescent="0.2">
      <c r="A14" s="23" t="s">
        <v>21</v>
      </c>
      <c r="B14" s="9"/>
      <c r="C14" s="25">
        <v>402</v>
      </c>
      <c r="D14" s="36"/>
      <c r="E14" s="25">
        <v>2009</v>
      </c>
      <c r="F14" s="36"/>
      <c r="G14" s="70">
        <v>-3</v>
      </c>
      <c r="H14" s="9"/>
      <c r="I14" s="37" t="s">
        <v>13</v>
      </c>
      <c r="J14" s="9"/>
      <c r="K14" s="37" t="s">
        <v>13</v>
      </c>
      <c r="L14" s="9"/>
      <c r="M14" s="70">
        <v>-3</v>
      </c>
      <c r="N14" s="9"/>
      <c r="O14" s="25">
        <v>97</v>
      </c>
      <c r="P14" s="9"/>
      <c r="Q14" s="25">
        <v>126</v>
      </c>
      <c r="R14" s="9"/>
      <c r="S14" s="25">
        <v>251</v>
      </c>
      <c r="T14" s="25"/>
      <c r="U14" s="25"/>
      <c r="V14" s="54">
        <v>33</v>
      </c>
      <c r="W14" s="9"/>
      <c r="X14" s="9"/>
    </row>
    <row r="15" spans="1:24" s="1" customFormat="1" ht="11.25" customHeight="1" x14ac:dyDescent="0.2">
      <c r="A15" s="23" t="s">
        <v>22</v>
      </c>
      <c r="B15" s="9"/>
      <c r="C15" s="25">
        <v>411</v>
      </c>
      <c r="D15" s="36"/>
      <c r="E15" s="25">
        <v>2186</v>
      </c>
      <c r="F15" s="36"/>
      <c r="G15" s="70">
        <v>-3</v>
      </c>
      <c r="H15" s="9"/>
      <c r="I15" s="37" t="s">
        <v>13</v>
      </c>
      <c r="J15" s="9"/>
      <c r="K15" s="37" t="s">
        <v>13</v>
      </c>
      <c r="L15" s="9"/>
      <c r="M15" s="70">
        <v>-3</v>
      </c>
      <c r="N15" s="9"/>
      <c r="O15" s="25">
        <v>101</v>
      </c>
      <c r="P15" s="9"/>
      <c r="Q15" s="25">
        <v>128</v>
      </c>
      <c r="R15" s="9"/>
      <c r="S15" s="25">
        <v>284</v>
      </c>
      <c r="T15" s="25"/>
      <c r="U15" s="25"/>
      <c r="V15" s="54">
        <v>36</v>
      </c>
      <c r="W15" s="9"/>
      <c r="X15" s="9"/>
    </row>
    <row r="16" spans="1:24" s="1" customFormat="1" ht="11.25" customHeight="1" x14ac:dyDescent="0.2">
      <c r="A16" s="23" t="s">
        <v>23</v>
      </c>
      <c r="B16" s="9"/>
      <c r="C16" s="25">
        <v>452</v>
      </c>
      <c r="D16" s="36"/>
      <c r="E16" s="25">
        <v>2347</v>
      </c>
      <c r="F16" s="36"/>
      <c r="G16" s="70">
        <v>-3</v>
      </c>
      <c r="H16" s="9"/>
      <c r="I16" s="37" t="s">
        <v>13</v>
      </c>
      <c r="J16" s="9"/>
      <c r="K16" s="37" t="s">
        <v>13</v>
      </c>
      <c r="L16" s="9"/>
      <c r="M16" s="70">
        <v>-3</v>
      </c>
      <c r="N16" s="9"/>
      <c r="O16" s="25">
        <v>104</v>
      </c>
      <c r="P16" s="9"/>
      <c r="Q16" s="25">
        <v>135</v>
      </c>
      <c r="R16" s="9"/>
      <c r="S16" s="25">
        <v>339</v>
      </c>
      <c r="T16" s="25"/>
      <c r="U16" s="25"/>
      <c r="V16" s="54">
        <v>39</v>
      </c>
      <c r="W16" s="9"/>
      <c r="X16" s="9"/>
    </row>
    <row r="17" spans="1:24" s="1" customFormat="1" ht="11.25" customHeight="1" x14ac:dyDescent="0.2">
      <c r="A17" s="23" t="s">
        <v>24</v>
      </c>
      <c r="B17" s="9"/>
      <c r="C17" s="25">
        <v>512</v>
      </c>
      <c r="D17" s="36"/>
      <c r="E17" s="25">
        <v>2611</v>
      </c>
      <c r="F17" s="36"/>
      <c r="G17" s="70">
        <v>-3</v>
      </c>
      <c r="H17" s="9"/>
      <c r="I17" s="37" t="s">
        <v>13</v>
      </c>
      <c r="J17" s="9"/>
      <c r="K17" s="37" t="s">
        <v>13</v>
      </c>
      <c r="L17" s="9"/>
      <c r="M17" s="70">
        <v>-3</v>
      </c>
      <c r="N17" s="9"/>
      <c r="O17" s="25">
        <v>105</v>
      </c>
      <c r="P17" s="9"/>
      <c r="Q17" s="25">
        <v>148</v>
      </c>
      <c r="R17" s="9"/>
      <c r="S17" s="25">
        <v>345</v>
      </c>
      <c r="T17" s="25"/>
      <c r="U17" s="25"/>
      <c r="V17" s="54">
        <v>50</v>
      </c>
      <c r="W17" s="9"/>
      <c r="X17" s="9"/>
    </row>
    <row r="18" spans="1:24" s="1" customFormat="1" ht="11.25" customHeight="1" x14ac:dyDescent="0.2">
      <c r="A18" s="23" t="s">
        <v>25</v>
      </c>
      <c r="B18" s="9"/>
      <c r="C18" s="25">
        <v>542</v>
      </c>
      <c r="D18" s="36"/>
      <c r="E18" s="25">
        <v>2530</v>
      </c>
      <c r="F18" s="36"/>
      <c r="G18" s="70">
        <v>-3</v>
      </c>
      <c r="H18" s="9"/>
      <c r="I18" s="9"/>
      <c r="J18" s="9"/>
      <c r="K18" s="9"/>
      <c r="L18" s="9"/>
      <c r="M18" s="70">
        <v>-3</v>
      </c>
      <c r="N18" s="9"/>
      <c r="O18" s="25">
        <v>118</v>
      </c>
      <c r="P18" s="9"/>
      <c r="Q18" s="25">
        <v>145</v>
      </c>
      <c r="R18" s="9"/>
      <c r="S18" s="25">
        <v>373</v>
      </c>
      <c r="T18" s="25"/>
      <c r="U18" s="25"/>
      <c r="V18" s="54">
        <v>47</v>
      </c>
      <c r="W18" s="9"/>
      <c r="X18" s="9"/>
    </row>
    <row r="19" spans="1:24" s="1" customFormat="1" ht="11.25" customHeight="1" x14ac:dyDescent="0.2">
      <c r="A19" s="23" t="s">
        <v>26</v>
      </c>
      <c r="B19" s="9"/>
      <c r="C19" s="25">
        <v>583</v>
      </c>
      <c r="D19" s="36"/>
      <c r="E19" s="25">
        <v>2711</v>
      </c>
      <c r="F19" s="36"/>
      <c r="G19" s="70">
        <v>-3</v>
      </c>
      <c r="H19" s="9"/>
      <c r="I19" s="37" t="s">
        <v>13</v>
      </c>
      <c r="J19" s="9"/>
      <c r="K19" s="37" t="s">
        <v>13</v>
      </c>
      <c r="L19" s="9"/>
      <c r="M19" s="70">
        <v>-3</v>
      </c>
      <c r="N19" s="9"/>
      <c r="O19" s="25">
        <v>126</v>
      </c>
      <c r="P19" s="9"/>
      <c r="Q19" s="25">
        <v>156</v>
      </c>
      <c r="R19" s="9"/>
      <c r="S19" s="25">
        <v>501</v>
      </c>
      <c r="T19" s="25"/>
      <c r="U19" s="25"/>
      <c r="V19" s="54">
        <v>49</v>
      </c>
      <c r="W19" s="9"/>
      <c r="X19" s="9"/>
    </row>
    <row r="20" spans="1:24" s="1" customFormat="1" ht="11.25" customHeight="1" x14ac:dyDescent="0.2">
      <c r="A20" s="23" t="s">
        <v>27</v>
      </c>
      <c r="B20" s="9"/>
      <c r="C20" s="25">
        <v>668</v>
      </c>
      <c r="D20" s="36"/>
      <c r="E20" s="25">
        <v>2874</v>
      </c>
      <c r="F20" s="36"/>
      <c r="G20" s="70">
        <v>-3</v>
      </c>
      <c r="H20" s="9"/>
      <c r="I20" s="34" t="s">
        <v>12</v>
      </c>
      <c r="J20" s="9"/>
      <c r="K20" s="35" t="s">
        <v>13</v>
      </c>
      <c r="L20" s="9"/>
      <c r="M20" s="70">
        <v>-3</v>
      </c>
      <c r="N20" s="9"/>
      <c r="O20" s="25">
        <v>138</v>
      </c>
      <c r="P20" s="9"/>
      <c r="Q20" s="25">
        <v>170</v>
      </c>
      <c r="R20" s="9"/>
      <c r="S20" s="25">
        <v>639</v>
      </c>
      <c r="T20" s="25"/>
      <c r="U20" s="25"/>
      <c r="V20" s="54">
        <v>53</v>
      </c>
      <c r="W20" s="9"/>
      <c r="X20" s="9"/>
    </row>
    <row r="21" spans="1:24" s="1" customFormat="1" ht="11.25" customHeight="1" x14ac:dyDescent="0.2">
      <c r="A21" s="23" t="s">
        <v>28</v>
      </c>
      <c r="B21" s="9"/>
      <c r="C21" s="25">
        <v>811.06</v>
      </c>
      <c r="D21" s="36"/>
      <c r="E21" s="25">
        <v>3287.27</v>
      </c>
      <c r="F21" s="36"/>
      <c r="G21" s="70">
        <v>-3</v>
      </c>
      <c r="H21" s="9"/>
      <c r="I21" s="37" t="s">
        <v>13</v>
      </c>
      <c r="J21" s="9"/>
      <c r="K21" s="37" t="s">
        <v>13</v>
      </c>
      <c r="L21" s="9"/>
      <c r="M21" s="70">
        <v>-3</v>
      </c>
      <c r="N21" s="9"/>
      <c r="O21" s="25">
        <v>154.4</v>
      </c>
      <c r="P21" s="9"/>
      <c r="Q21" s="25">
        <v>191.47</v>
      </c>
      <c r="R21" s="9"/>
      <c r="S21" s="25">
        <v>736.14</v>
      </c>
      <c r="T21" s="25"/>
      <c r="U21" s="25"/>
      <c r="V21" s="54">
        <v>61.3</v>
      </c>
      <c r="W21" s="9"/>
      <c r="X21" s="9"/>
    </row>
    <row r="22" spans="1:24" s="1" customFormat="1" ht="11.25" customHeight="1" x14ac:dyDescent="0.2">
      <c r="A22" s="23" t="s">
        <v>29</v>
      </c>
      <c r="B22" s="9"/>
      <c r="C22" s="25">
        <v>902.38</v>
      </c>
      <c r="D22" s="36"/>
      <c r="E22" s="25">
        <v>3652.75</v>
      </c>
      <c r="F22" s="36"/>
      <c r="G22" s="70">
        <v>-3</v>
      </c>
      <c r="H22" s="9"/>
      <c r="I22" s="37" t="s">
        <v>13</v>
      </c>
      <c r="J22" s="9"/>
      <c r="K22" s="37" t="s">
        <v>13</v>
      </c>
      <c r="L22" s="9"/>
      <c r="M22" s="70">
        <v>-3</v>
      </c>
      <c r="N22" s="9"/>
      <c r="O22" s="25">
        <v>170.4</v>
      </c>
      <c r="P22" s="9"/>
      <c r="Q22" s="25">
        <v>216.5</v>
      </c>
      <c r="R22" s="9"/>
      <c r="S22" s="25">
        <v>907.79</v>
      </c>
      <c r="T22" s="25"/>
      <c r="U22" s="25"/>
      <c r="V22" s="54">
        <v>68.52</v>
      </c>
      <c r="W22" s="9"/>
      <c r="X22" s="9"/>
    </row>
    <row r="23" spans="1:24" s="1" customFormat="1" ht="11.25" customHeight="1" x14ac:dyDescent="0.2">
      <c r="A23" s="23" t="s">
        <v>30</v>
      </c>
      <c r="B23" s="9"/>
      <c r="C23" s="25">
        <v>971</v>
      </c>
      <c r="D23" s="36"/>
      <c r="E23" s="25">
        <v>3310</v>
      </c>
      <c r="F23" s="36"/>
      <c r="G23" s="70">
        <v>-3</v>
      </c>
      <c r="H23" s="9"/>
      <c r="I23" s="37" t="s">
        <v>13</v>
      </c>
      <c r="J23" s="9"/>
      <c r="K23" s="37" t="s">
        <v>13</v>
      </c>
      <c r="L23" s="9"/>
      <c r="M23" s="70">
        <v>-3</v>
      </c>
      <c r="N23" s="25"/>
      <c r="O23" s="25">
        <v>187</v>
      </c>
      <c r="P23" s="25"/>
      <c r="Q23" s="25">
        <v>243</v>
      </c>
      <c r="R23" s="25"/>
      <c r="S23" s="25">
        <v>968</v>
      </c>
      <c r="T23" s="25"/>
      <c r="U23" s="25"/>
      <c r="V23" s="54">
        <v>80</v>
      </c>
      <c r="W23" s="9"/>
      <c r="X23" s="9"/>
    </row>
    <row r="24" spans="1:24" s="1" customFormat="1" ht="11.25" customHeight="1" x14ac:dyDescent="0.2">
      <c r="A24" s="23" t="s">
        <v>31</v>
      </c>
      <c r="B24" s="9"/>
      <c r="C24" s="25">
        <v>1013</v>
      </c>
      <c r="D24" s="36"/>
      <c r="E24" s="25">
        <v>3647</v>
      </c>
      <c r="F24" s="36"/>
      <c r="G24" s="70">
        <v>-3</v>
      </c>
      <c r="H24" s="9"/>
      <c r="I24" s="37" t="s">
        <v>13</v>
      </c>
      <c r="J24" s="9"/>
      <c r="K24" s="37" t="s">
        <v>13</v>
      </c>
      <c r="L24" s="9"/>
      <c r="M24" s="70">
        <v>-3</v>
      </c>
      <c r="N24" s="9"/>
      <c r="O24" s="38">
        <v>195</v>
      </c>
      <c r="P24" s="9"/>
      <c r="Q24" s="38">
        <v>252</v>
      </c>
      <c r="R24" s="9"/>
      <c r="S24" s="25">
        <v>1032</v>
      </c>
      <c r="T24" s="25"/>
      <c r="U24" s="25"/>
      <c r="V24" s="54">
        <v>88</v>
      </c>
      <c r="W24" s="9"/>
      <c r="X24" s="9"/>
    </row>
    <row r="25" spans="1:24" s="1" customFormat="1" ht="11.25" customHeight="1" x14ac:dyDescent="0.2">
      <c r="A25" s="23" t="s">
        <v>32</v>
      </c>
      <c r="B25" s="9"/>
      <c r="C25" s="25">
        <v>1006</v>
      </c>
      <c r="D25" s="25"/>
      <c r="E25" s="25">
        <v>3588</v>
      </c>
      <c r="F25" s="25"/>
      <c r="G25" s="70">
        <v>-3</v>
      </c>
      <c r="H25" s="9"/>
      <c r="I25" s="37" t="s">
        <v>13</v>
      </c>
      <c r="J25" s="9"/>
      <c r="K25" s="37" t="s">
        <v>13</v>
      </c>
      <c r="L25" s="9"/>
      <c r="M25" s="70">
        <v>-3</v>
      </c>
      <c r="N25" s="25"/>
      <c r="O25" s="25">
        <v>197</v>
      </c>
      <c r="P25" s="25"/>
      <c r="Q25" s="25">
        <v>252</v>
      </c>
      <c r="R25" s="25"/>
      <c r="S25" s="25">
        <v>1010</v>
      </c>
      <c r="T25" s="25"/>
      <c r="U25" s="25"/>
      <c r="V25" s="54">
        <v>95</v>
      </c>
      <c r="W25" s="9"/>
      <c r="X25" s="9"/>
    </row>
    <row r="26" spans="1:24" s="1" customFormat="1" ht="11.25" customHeight="1" x14ac:dyDescent="0.2">
      <c r="A26" s="23">
        <v>1995</v>
      </c>
      <c r="B26" s="9"/>
      <c r="C26" s="25">
        <v>1047</v>
      </c>
      <c r="D26" s="25"/>
      <c r="E26" s="25">
        <v>3819</v>
      </c>
      <c r="F26" s="25"/>
      <c r="G26" s="70">
        <v>-3</v>
      </c>
      <c r="H26" s="9"/>
      <c r="I26" s="37" t="s">
        <v>13</v>
      </c>
      <c r="J26" s="9"/>
      <c r="K26" s="37" t="s">
        <v>13</v>
      </c>
      <c r="L26" s="9"/>
      <c r="M26" s="70">
        <v>-3</v>
      </c>
      <c r="N26" s="25"/>
      <c r="O26" s="25">
        <v>200</v>
      </c>
      <c r="P26" s="25"/>
      <c r="Q26" s="25">
        <v>252</v>
      </c>
      <c r="R26" s="25"/>
      <c r="S26" s="25">
        <v>1589</v>
      </c>
      <c r="T26" s="25"/>
      <c r="U26" s="25"/>
      <c r="V26" s="54">
        <v>104</v>
      </c>
      <c r="W26" s="9"/>
      <c r="X26" s="9"/>
    </row>
    <row r="27" spans="1:24" s="1" customFormat="1" ht="11.25" customHeight="1" x14ac:dyDescent="0.2">
      <c r="A27" s="23">
        <v>1996</v>
      </c>
      <c r="B27" s="9"/>
      <c r="C27" s="25">
        <v>1048</v>
      </c>
      <c r="D27" s="25"/>
      <c r="E27" s="25">
        <v>3627</v>
      </c>
      <c r="F27" s="25"/>
      <c r="G27" s="70">
        <v>-3</v>
      </c>
      <c r="H27" s="9"/>
      <c r="I27" s="37" t="s">
        <v>13</v>
      </c>
      <c r="J27" s="9"/>
      <c r="K27" s="37" t="s">
        <v>13</v>
      </c>
      <c r="L27" s="9"/>
      <c r="M27" s="70">
        <v>-3</v>
      </c>
      <c r="N27" s="25"/>
      <c r="O27" s="25">
        <v>205</v>
      </c>
      <c r="P27" s="25"/>
      <c r="Q27" s="25">
        <v>246</v>
      </c>
      <c r="R27" s="25"/>
      <c r="S27" s="25">
        <v>1855</v>
      </c>
      <c r="T27" s="25"/>
      <c r="U27" s="25"/>
      <c r="V27" s="54">
        <v>112</v>
      </c>
      <c r="W27" s="9"/>
      <c r="X27" s="9"/>
    </row>
    <row r="28" spans="1:24" s="1" customFormat="1" ht="11.25" customHeight="1" x14ac:dyDescent="0.2">
      <c r="A28" s="23">
        <v>1997</v>
      </c>
      <c r="B28" s="9"/>
      <c r="C28" s="25">
        <f>17543903669/15790671</f>
        <v>1111.029649658333</v>
      </c>
      <c r="D28" s="25"/>
      <c r="E28" s="25">
        <f>5570658622/1363084</f>
        <v>4086.8050846462875</v>
      </c>
      <c r="F28" s="25"/>
      <c r="G28" s="70">
        <v>-3</v>
      </c>
      <c r="H28" s="9"/>
      <c r="I28" s="37" t="s">
        <v>13</v>
      </c>
      <c r="J28" s="9"/>
      <c r="K28" s="37" t="s">
        <v>13</v>
      </c>
      <c r="L28" s="9"/>
      <c r="M28" s="70">
        <v>-3</v>
      </c>
      <c r="N28" s="25"/>
      <c r="O28" s="25">
        <f>1925770716/9370219</f>
        <v>205.52035293945639</v>
      </c>
      <c r="P28" s="25"/>
      <c r="Q28" s="25">
        <f>1414265621/5472175</f>
        <v>258.44670921525721</v>
      </c>
      <c r="R28" s="25"/>
      <c r="S28" s="25">
        <f>534041730/308783</f>
        <v>1729.5049597937709</v>
      </c>
      <c r="T28" s="25"/>
      <c r="U28" s="25"/>
      <c r="V28" s="54">
        <f>1099080278/9128860</f>
        <v>120.3962245011973</v>
      </c>
      <c r="W28" s="9"/>
      <c r="X28" s="9"/>
    </row>
    <row r="29" spans="1:24" s="1" customFormat="1" ht="11.25" customHeight="1" x14ac:dyDescent="0.2">
      <c r="A29" s="23">
        <v>1998</v>
      </c>
      <c r="B29" s="9"/>
      <c r="C29" s="25">
        <f>22896092347/18969125</f>
        <v>1207.0188976560596</v>
      </c>
      <c r="D29" s="25"/>
      <c r="E29" s="25">
        <f>5138358304/1199475</f>
        <v>4283.839433085308</v>
      </c>
      <c r="F29" s="25"/>
      <c r="G29" s="70">
        <v>-3</v>
      </c>
      <c r="H29" s="9"/>
      <c r="I29" s="37" t="s">
        <v>13</v>
      </c>
      <c r="J29" s="9"/>
      <c r="K29" s="37" t="s">
        <v>13</v>
      </c>
      <c r="L29" s="9"/>
      <c r="M29" s="70">
        <v>-3</v>
      </c>
      <c r="N29" s="25"/>
      <c r="O29" s="25">
        <f>1643852462/7846733</f>
        <v>209.49514428488902</v>
      </c>
      <c r="P29" s="25"/>
      <c r="Q29" s="25">
        <f>1239600145/4776380</f>
        <v>259.52711991089484</v>
      </c>
      <c r="R29" s="25"/>
      <c r="S29" s="25">
        <f>145274806/206289</f>
        <v>704.22953235509408</v>
      </c>
      <c r="T29" s="25"/>
      <c r="U29" s="25"/>
      <c r="V29" s="54">
        <f>1130727373/8168096</f>
        <v>138.43218456296302</v>
      </c>
      <c r="W29" s="9"/>
      <c r="X29" s="9"/>
    </row>
    <row r="30" spans="1:24" s="1" customFormat="1" ht="11.25" customHeight="1" x14ac:dyDescent="0.2">
      <c r="A30" s="23">
        <v>1999</v>
      </c>
      <c r="B30" s="9"/>
      <c r="C30" s="25">
        <f>24151236446/18836970</f>
        <v>1282.1189631878162</v>
      </c>
      <c r="D30" s="25"/>
      <c r="E30" s="25">
        <f>4495114293/1151718</f>
        <v>3902.9643480435316</v>
      </c>
      <c r="F30" s="25"/>
      <c r="G30" s="70">
        <v>-3</v>
      </c>
      <c r="H30" s="9"/>
      <c r="I30" s="37" t="s">
        <v>13</v>
      </c>
      <c r="J30" s="9"/>
      <c r="K30" s="37" t="s">
        <v>13</v>
      </c>
      <c r="L30" s="9"/>
      <c r="M30" s="70">
        <v>-3</v>
      </c>
      <c r="N30" s="25"/>
      <c r="O30" s="25">
        <f>1862038256/7616856</f>
        <v>244.46284083616652</v>
      </c>
      <c r="P30" s="25"/>
      <c r="Q30" s="25">
        <f>1270458283/4617251</f>
        <v>275.15469334458965</v>
      </c>
      <c r="R30" s="25"/>
      <c r="S30" s="25">
        <f>140999969/132463</f>
        <v>1064.4479515034386</v>
      </c>
      <c r="T30" s="25"/>
      <c r="U30" s="25"/>
      <c r="V30" s="54">
        <f>1308235677/8118061</f>
        <v>161.15124991053898</v>
      </c>
      <c r="W30" s="9"/>
      <c r="X30" s="9"/>
    </row>
    <row r="31" spans="1:24" s="1" customFormat="1" ht="11.25" customHeight="1" x14ac:dyDescent="0.2">
      <c r="A31" s="23">
        <v>2000</v>
      </c>
      <c r="B31" s="9"/>
      <c r="C31" s="25">
        <f>26774664587/19723045</f>
        <v>1357.531993006151</v>
      </c>
      <c r="D31" s="25"/>
      <c r="E31" s="25">
        <f>4897766378/1274223</f>
        <v>3843.7278074559949</v>
      </c>
      <c r="F31" s="25"/>
      <c r="G31" s="70">
        <v>-3</v>
      </c>
      <c r="H31" s="9"/>
      <c r="I31" s="37" t="s">
        <v>13</v>
      </c>
      <c r="J31" s="9"/>
      <c r="K31" s="37" t="s">
        <v>13</v>
      </c>
      <c r="L31" s="9"/>
      <c r="M31" s="70">
        <v>-3</v>
      </c>
      <c r="N31" s="25"/>
      <c r="O31" s="25">
        <f>1930927730/7847897</f>
        <v>246.04396948634775</v>
      </c>
      <c r="P31" s="25"/>
      <c r="Q31" s="25">
        <f>1433232809/4922780</f>
        <v>291.14297388873769</v>
      </c>
      <c r="R31" s="25"/>
      <c r="S31" s="25">
        <f>149513493/189789</f>
        <v>787.78798033605744</v>
      </c>
      <c r="T31" s="25"/>
      <c r="U31" s="25"/>
      <c r="V31" s="55">
        <f>1562415633/8316182</f>
        <v>187.87655597244023</v>
      </c>
      <c r="W31" s="9"/>
      <c r="X31" s="9"/>
    </row>
    <row r="32" spans="1:24" s="1" customFormat="1" ht="11.25" customHeight="1" x14ac:dyDescent="0.2">
      <c r="A32" s="23">
        <v>2001</v>
      </c>
      <c r="B32" s="9"/>
      <c r="C32" s="25">
        <f>30635741249/21064244</f>
        <v>1454.3954793250591</v>
      </c>
      <c r="D32" s="25"/>
      <c r="E32" s="25">
        <f>5264779114/1314157</f>
        <v>4006.2025420098207</v>
      </c>
      <c r="F32" s="25"/>
      <c r="G32" s="70">
        <v>-3</v>
      </c>
      <c r="H32" s="9"/>
      <c r="I32" s="37" t="s">
        <v>13</v>
      </c>
      <c r="J32" s="9"/>
      <c r="K32" s="37" t="s">
        <v>13</v>
      </c>
      <c r="L32" s="9"/>
      <c r="M32" s="70">
        <v>-3</v>
      </c>
      <c r="N32" s="25"/>
      <c r="O32" s="25">
        <f>2202504095/8363721</f>
        <v>263.34021603542249</v>
      </c>
      <c r="P32" s="25"/>
      <c r="Q32" s="25">
        <f>1634641107/5283789</f>
        <v>309.36911125709219</v>
      </c>
      <c r="R32" s="25"/>
      <c r="S32" s="25">
        <f>165728580/208369</f>
        <v>795.36101819368525</v>
      </c>
      <c r="T32" s="25"/>
      <c r="U32" s="25"/>
      <c r="V32" s="55">
        <f>2006001314/8953617</f>
        <v>224.04368134129481</v>
      </c>
      <c r="W32" s="9"/>
      <c r="X32" s="9"/>
    </row>
    <row r="33" spans="1:24" s="1" customFormat="1" ht="11.25" customHeight="1" x14ac:dyDescent="0.2">
      <c r="A33" s="23">
        <v>2002</v>
      </c>
      <c r="B33" s="9"/>
      <c r="C33" s="25">
        <f>35890359880/23227200</f>
        <v>1545.1866725218708</v>
      </c>
      <c r="D33" s="25"/>
      <c r="E33" s="25">
        <f>5741781573/1333685</f>
        <v>4305.2006830698401</v>
      </c>
      <c r="F33" s="25"/>
      <c r="G33" s="70">
        <v>-3</v>
      </c>
      <c r="H33" s="9"/>
      <c r="I33" s="37" t="s">
        <v>13</v>
      </c>
      <c r="J33" s="9"/>
      <c r="K33" s="37" t="s">
        <v>13</v>
      </c>
      <c r="L33" s="9"/>
      <c r="M33" s="70">
        <v>-3</v>
      </c>
      <c r="N33" s="25"/>
      <c r="O33" s="25">
        <f>2504769702/9265221</f>
        <v>270.34106385589723</v>
      </c>
      <c r="P33" s="25"/>
      <c r="Q33" s="25">
        <f>1858238872/5768177</f>
        <v>322.15358023860921</v>
      </c>
      <c r="R33" s="25"/>
      <c r="S33" s="25">
        <f>198476325/226988</f>
        <v>874.39126737977335</v>
      </c>
      <c r="T33" s="25"/>
      <c r="U33" s="25"/>
      <c r="V33" s="55">
        <f>2562094692/9929791</f>
        <v>258.02100890139582</v>
      </c>
      <c r="W33" s="9"/>
      <c r="X33" s="9"/>
    </row>
    <row r="34" spans="1:24" s="1" customFormat="1" ht="11.25" customHeight="1" x14ac:dyDescent="0.2">
      <c r="A34" s="23">
        <v>2003</v>
      </c>
      <c r="B34" s="9"/>
      <c r="C34" s="25">
        <f>39870763353/24831190</f>
        <v>1605.6726783130409</v>
      </c>
      <c r="D34" s="25"/>
      <c r="E34" s="25">
        <f>6022924796/1380034</f>
        <v>4364.3307309819902</v>
      </c>
      <c r="F34" s="25"/>
      <c r="G34" s="70">
        <v>-3</v>
      </c>
      <c r="H34" s="9"/>
      <c r="I34" s="37" t="s">
        <v>13</v>
      </c>
      <c r="J34" s="9"/>
      <c r="K34" s="37" t="s">
        <v>13</v>
      </c>
      <c r="L34" s="9"/>
      <c r="M34" s="70">
        <v>-3</v>
      </c>
      <c r="N34" s="25"/>
      <c r="O34" s="25">
        <f>2784440666/9784539</f>
        <v>284.57556007493048</v>
      </c>
      <c r="P34" s="25"/>
      <c r="Q34" s="25">
        <f>2057081131/6075387</f>
        <v>338.59260833918893</v>
      </c>
      <c r="R34" s="25"/>
      <c r="S34" s="25">
        <f>211253398/247912</f>
        <v>852.13058665978247</v>
      </c>
      <c r="T34" s="25"/>
      <c r="U34" s="25"/>
      <c r="V34" s="55">
        <f>3223432803/10817692</f>
        <v>297.97786838449457</v>
      </c>
      <c r="W34" s="9"/>
      <c r="X34" s="9"/>
    </row>
    <row r="35" spans="1:24" s="1" customFormat="1" ht="11.25" customHeight="1" x14ac:dyDescent="0.2">
      <c r="A35" s="23">
        <v>2004</v>
      </c>
      <c r="B35" s="9"/>
      <c r="C35" s="25">
        <f>44204834742/26459023</f>
        <v>1670.6903630568672</v>
      </c>
      <c r="D35" s="25"/>
      <c r="E35" s="25">
        <f>6528024097/1494080</f>
        <v>4369.2600777736134</v>
      </c>
      <c r="F35" s="25"/>
      <c r="G35" s="70">
        <v>-3</v>
      </c>
      <c r="H35" s="9"/>
      <c r="I35" s="37" t="s">
        <v>13</v>
      </c>
      <c r="J35" s="9"/>
      <c r="K35" s="37" t="s">
        <v>13</v>
      </c>
      <c r="L35" s="9"/>
      <c r="M35" s="70">
        <v>-3</v>
      </c>
      <c r="N35" s="25"/>
      <c r="O35" s="25">
        <f>3058015856/10285206</f>
        <v>297.32178976288856</v>
      </c>
      <c r="P35" s="25"/>
      <c r="Q35" s="25">
        <f>2312398810/6342329</f>
        <v>364.59773846484472</v>
      </c>
      <c r="R35" s="25"/>
      <c r="S35" s="25">
        <f>217654295/241907</f>
        <v>899.74368248955182</v>
      </c>
      <c r="T35" s="25"/>
      <c r="U35" s="25"/>
      <c r="V35" s="55">
        <f>3867063669/11549979</f>
        <v>334.81131602057457</v>
      </c>
      <c r="W35" s="9"/>
      <c r="X35" s="9"/>
    </row>
    <row r="36" spans="1:24" s="1" customFormat="1" ht="11.25" customHeight="1" x14ac:dyDescent="0.2">
      <c r="A36" s="23">
        <v>2005</v>
      </c>
      <c r="B36" s="9"/>
      <c r="C36" s="25">
        <f>46846073176/27096133</f>
        <v>1728.884087482151</v>
      </c>
      <c r="D36" s="25"/>
      <c r="E36" s="25">
        <f>6630166874/1484671</f>
        <v>4465.748218965683</v>
      </c>
      <c r="F36" s="25"/>
      <c r="G36" s="70">
        <v>-3</v>
      </c>
      <c r="H36" s="9"/>
      <c r="I36" s="37" t="s">
        <v>13</v>
      </c>
      <c r="J36" s="9"/>
      <c r="K36" s="37" t="s">
        <v>13</v>
      </c>
      <c r="L36" s="9"/>
      <c r="M36" s="70">
        <v>-3</v>
      </c>
      <c r="N36" s="25"/>
      <c r="O36" s="25">
        <f>3247806573/10359918</f>
        <v>313.497324303146</v>
      </c>
      <c r="P36" s="25"/>
      <c r="Q36" s="25">
        <f>2269074662/6304548</f>
        <v>359.91075997835213</v>
      </c>
      <c r="R36" s="25"/>
      <c r="S36" s="25">
        <f>241946382/252184</f>
        <v>959.40417314341914</v>
      </c>
      <c r="T36" s="25"/>
      <c r="U36" s="25"/>
      <c r="V36" s="55">
        <f>4206403404/11774306</f>
        <v>357.25276750918482</v>
      </c>
      <c r="W36" s="9"/>
      <c r="X36" s="9"/>
    </row>
    <row r="37" spans="1:24" s="1" customFormat="1" ht="11.25" customHeight="1" x14ac:dyDescent="0.2">
      <c r="A37" s="23">
        <v>2006</v>
      </c>
      <c r="B37" s="9"/>
      <c r="C37" s="25">
        <f>49611566370/27437862</f>
        <v>1808.1425721144017</v>
      </c>
      <c r="D37" s="25"/>
      <c r="E37" s="25">
        <f>6852957046/1719452</f>
        <v>3985.5471661901584</v>
      </c>
      <c r="F37" s="25"/>
      <c r="G37" s="70">
        <v>-3</v>
      </c>
      <c r="H37" s="9"/>
      <c r="I37" s="37" t="s">
        <v>13</v>
      </c>
      <c r="J37" s="9"/>
      <c r="K37" s="37" t="s">
        <v>13</v>
      </c>
      <c r="L37" s="9"/>
      <c r="M37" s="70">
        <v>-3</v>
      </c>
      <c r="N37" s="25"/>
      <c r="O37" s="25">
        <f>3120641513/10063464</f>
        <v>310.09615704890484</v>
      </c>
      <c r="P37" s="25"/>
      <c r="Q37" s="25">
        <f>2335983776/6171036</f>
        <v>378.53996897765626</v>
      </c>
      <c r="R37" s="25"/>
      <c r="S37" s="25">
        <f>256137965/245714</f>
        <v>1042.4231627013519</v>
      </c>
      <c r="T37" s="25"/>
      <c r="U37" s="25"/>
      <c r="V37" s="55">
        <f>4256968237/11493752</f>
        <v>370.37237596565507</v>
      </c>
      <c r="W37" s="9"/>
      <c r="X37" s="9"/>
    </row>
    <row r="38" spans="1:24" s="1" customFormat="1" ht="11.25" customHeight="1" x14ac:dyDescent="0.2">
      <c r="A38" s="23">
        <v>2007</v>
      </c>
      <c r="B38" s="9"/>
      <c r="C38" s="25">
        <f>53716279932/27526869</f>
        <v>1951.41263367076</v>
      </c>
      <c r="D38" s="25"/>
      <c r="E38" s="25">
        <f>6909902110/1388182</f>
        <v>4977.6629505353048</v>
      </c>
      <c r="F38" s="25"/>
      <c r="G38" s="70">
        <v>-3</v>
      </c>
      <c r="H38" s="9"/>
      <c r="I38" s="37" t="s">
        <v>13</v>
      </c>
      <c r="J38" s="9"/>
      <c r="K38" s="37" t="s">
        <v>13</v>
      </c>
      <c r="L38" s="9"/>
      <c r="M38" s="70">
        <v>-3</v>
      </c>
      <c r="N38" s="25"/>
      <c r="O38" s="25">
        <f>2901076903/9401499</f>
        <v>308.57599442386794</v>
      </c>
      <c r="P38" s="25"/>
      <c r="Q38" s="25">
        <f>2293306169/5656595</f>
        <v>405.42166603760745</v>
      </c>
      <c r="R38" s="25"/>
      <c r="S38" s="25">
        <f>263885406/240224</f>
        <v>1098.4972608898361</v>
      </c>
      <c r="T38" s="25"/>
      <c r="U38" s="25"/>
      <c r="V38" s="55">
        <f>4501979207/11014779</f>
        <v>408.72170081669367</v>
      </c>
      <c r="W38" s="9"/>
      <c r="X38" s="9"/>
    </row>
    <row r="39" spans="1:24" s="1" customFormat="1" ht="11.25" customHeight="1" x14ac:dyDescent="0.2">
      <c r="A39" s="23">
        <v>2008</v>
      </c>
      <c r="B39" s="9"/>
      <c r="C39" s="25">
        <f>57136620526/28071065</f>
        <v>2035.4276022658919</v>
      </c>
      <c r="D39" s="25"/>
      <c r="E39" s="25">
        <f>7287734271/1474465</f>
        <v>4942.6295442753808</v>
      </c>
      <c r="F39" s="25"/>
      <c r="G39" s="70">
        <v>-3</v>
      </c>
      <c r="H39" s="9"/>
      <c r="I39" s="37" t="s">
        <v>13</v>
      </c>
      <c r="J39" s="9"/>
      <c r="K39" s="37" t="s">
        <v>13</v>
      </c>
      <c r="L39" s="9"/>
      <c r="M39" s="70">
        <v>-3</v>
      </c>
      <c r="N39" s="25"/>
      <c r="O39" s="25">
        <f>3048177957/9094929</f>
        <v>335.15137468362866</v>
      </c>
      <c r="P39" s="25"/>
      <c r="Q39" s="25">
        <f>2410664920/5552053</f>
        <v>434.19342718810503</v>
      </c>
      <c r="R39" s="25"/>
      <c r="S39" s="25">
        <f>247689193/207911</f>
        <v>1191.3231767438951</v>
      </c>
      <c r="T39" s="25"/>
      <c r="U39" s="25"/>
      <c r="V39" s="55">
        <f>4837792205/11163681</f>
        <v>433.35098924808045</v>
      </c>
      <c r="W39" s="9"/>
      <c r="X39" s="9"/>
    </row>
    <row r="40" spans="1:24" s="1" customFormat="1" ht="10.15" customHeight="1" x14ac:dyDescent="0.2">
      <c r="A40" s="65">
        <v>2009</v>
      </c>
      <c r="B40" s="66"/>
      <c r="C40" s="67">
        <f>64022018349/29848423</f>
        <v>2144.9045515402941</v>
      </c>
      <c r="D40" s="67"/>
      <c r="E40" s="67">
        <f>7683570020/1515398</f>
        <v>5070.3313716924531</v>
      </c>
      <c r="F40" s="67"/>
      <c r="G40" s="71">
        <v>-3</v>
      </c>
      <c r="H40" s="66"/>
      <c r="I40" s="68" t="s">
        <v>13</v>
      </c>
      <c r="J40" s="66"/>
      <c r="K40" s="68" t="s">
        <v>13</v>
      </c>
      <c r="L40" s="66"/>
      <c r="M40" s="71">
        <v>-3</v>
      </c>
      <c r="N40" s="67"/>
      <c r="O40" s="67">
        <f>3251234614/9661494</f>
        <v>336.51468540993761</v>
      </c>
      <c r="P40" s="67"/>
      <c r="Q40" s="67">
        <f>2615790351/6025283</f>
        <v>434.13568308741679</v>
      </c>
      <c r="R40" s="67"/>
      <c r="S40" s="67">
        <f>240325672/176300</f>
        <v>1363.1631990924561</v>
      </c>
      <c r="T40" s="67"/>
      <c r="U40" s="67"/>
      <c r="V40" s="69">
        <f>5203908071/12098462</f>
        <v>430.12971987679094</v>
      </c>
      <c r="W40" s="66"/>
      <c r="X40" s="9"/>
    </row>
    <row r="41" spans="1:24" s="1" customFormat="1" ht="10.15" customHeight="1" x14ac:dyDescent="0.2">
      <c r="A41" s="65">
        <v>2010</v>
      </c>
      <c r="B41" s="66"/>
      <c r="C41" s="67">
        <f>67207046992/31568444</f>
        <v>2128.9312514737817</v>
      </c>
      <c r="D41" s="67"/>
      <c r="E41" s="67">
        <f>6529613779/1218984</f>
        <v>5356.6033508233086</v>
      </c>
      <c r="F41" s="67"/>
      <c r="G41" s="71">
        <v>-3</v>
      </c>
      <c r="H41" s="66"/>
      <c r="I41" s="68" t="s">
        <v>13</v>
      </c>
      <c r="J41" s="66"/>
      <c r="K41" s="68" t="s">
        <v>13</v>
      </c>
      <c r="L41" s="66"/>
      <c r="M41" s="71">
        <v>-3</v>
      </c>
      <c r="N41" s="67"/>
      <c r="O41" s="67">
        <f>3402273141/10031207</f>
        <v>339.16886980799018</v>
      </c>
      <c r="P41" s="67"/>
      <c r="Q41" s="67">
        <f>2653393691/5945684</f>
        <v>446.27223562503491</v>
      </c>
      <c r="R41" s="67"/>
      <c r="S41" s="67">
        <f>258643826/187057</f>
        <v>1382.7005992825716</v>
      </c>
      <c r="T41" s="67"/>
      <c r="U41" s="67"/>
      <c r="V41" s="69">
        <f>5643584555/13487128</f>
        <v>418.44227733287619</v>
      </c>
      <c r="W41" s="9"/>
      <c r="X41" s="9"/>
    </row>
    <row r="42" spans="1:24" s="1" customFormat="1" ht="11.25" x14ac:dyDescent="0.2">
      <c r="A42" s="39" t="s">
        <v>33</v>
      </c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</row>
    <row r="43" spans="1:24" s="1" customFormat="1" ht="11.25" x14ac:dyDescent="0.2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</row>
    <row r="44" spans="1:24" s="1" customFormat="1" ht="11.25" x14ac:dyDescent="0.2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</row>
    <row r="45" spans="1:24" s="1" customFormat="1" ht="11.25" x14ac:dyDescent="0.2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</row>
    <row r="46" spans="1:24" s="1" customFormat="1" ht="11.25" x14ac:dyDescent="0.2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</row>
    <row r="47" spans="1:24" s="3" customFormat="1" ht="15" customHeight="1" x14ac:dyDescent="0.2">
      <c r="A47" s="75" t="s">
        <v>40</v>
      </c>
      <c r="B47" s="75"/>
      <c r="C47" s="75"/>
      <c r="D47" s="75"/>
      <c r="E47" s="75"/>
      <c r="F47" s="75"/>
      <c r="G47" s="75"/>
      <c r="H47" s="75"/>
      <c r="I47" s="75"/>
      <c r="J47" s="75"/>
      <c r="K47" s="75"/>
      <c r="L47" s="75"/>
      <c r="M47" s="75"/>
      <c r="N47" s="75"/>
      <c r="O47" s="75"/>
      <c r="P47" s="75"/>
      <c r="Q47" s="75"/>
      <c r="R47" s="75"/>
      <c r="S47" s="75"/>
      <c r="T47" s="75"/>
      <c r="U47" s="75"/>
      <c r="V47" s="75"/>
      <c r="W47" s="75"/>
      <c r="X47" s="6"/>
    </row>
    <row r="48" spans="1:24" s="49" customFormat="1" ht="13.15" customHeight="1" x14ac:dyDescent="0.2">
      <c r="A48" s="50" t="s">
        <v>49</v>
      </c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48"/>
    </row>
    <row r="49" spans="1:24" s="4" customFormat="1" ht="13.15" customHeight="1" x14ac:dyDescent="0.2">
      <c r="A49" s="51" t="s">
        <v>70</v>
      </c>
      <c r="B49" s="51"/>
      <c r="C49" s="51"/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7"/>
    </row>
    <row r="50" spans="1:24" s="1" customFormat="1" ht="10.15" customHeight="1" x14ac:dyDescent="0.2">
      <c r="A50" s="22" t="s">
        <v>34</v>
      </c>
      <c r="B50" s="19"/>
      <c r="C50" s="19"/>
      <c r="D50" s="19"/>
      <c r="E50" s="20" t="s">
        <v>0</v>
      </c>
      <c r="F50" s="21"/>
      <c r="G50" s="19"/>
      <c r="H50" s="19"/>
      <c r="I50" s="19"/>
      <c r="J50" s="19"/>
      <c r="K50" s="20" t="s">
        <v>1</v>
      </c>
      <c r="L50" s="19"/>
      <c r="M50" s="40" t="s">
        <v>36</v>
      </c>
      <c r="N50" s="19"/>
      <c r="O50" s="19"/>
      <c r="P50" s="19"/>
      <c r="Q50" s="53" t="s">
        <v>3</v>
      </c>
      <c r="R50" s="19"/>
      <c r="S50" s="20" t="s">
        <v>45</v>
      </c>
      <c r="T50" s="20"/>
      <c r="U50" s="20"/>
      <c r="V50" s="22" t="s">
        <v>4</v>
      </c>
      <c r="W50" s="9"/>
      <c r="X50" s="9"/>
    </row>
    <row r="51" spans="1:24" s="1" customFormat="1" ht="14.25" customHeight="1" x14ac:dyDescent="0.2">
      <c r="A51" s="23" t="s">
        <v>5</v>
      </c>
      <c r="B51" s="27"/>
      <c r="C51" s="26" t="s">
        <v>41</v>
      </c>
      <c r="D51" s="27"/>
      <c r="E51" s="28" t="s">
        <v>6</v>
      </c>
      <c r="F51" s="41"/>
      <c r="G51" s="26" t="s">
        <v>7</v>
      </c>
      <c r="H51" s="27"/>
      <c r="I51" s="28" t="s">
        <v>8</v>
      </c>
      <c r="J51" s="27"/>
      <c r="K51" s="28" t="s">
        <v>9</v>
      </c>
      <c r="L51" s="27"/>
      <c r="M51" s="26" t="s">
        <v>38</v>
      </c>
      <c r="N51" s="27"/>
      <c r="O51" s="28" t="s">
        <v>35</v>
      </c>
      <c r="P51" s="27"/>
      <c r="Q51" s="28" t="s">
        <v>48</v>
      </c>
      <c r="R51" s="27"/>
      <c r="S51" s="29" t="s">
        <v>57</v>
      </c>
      <c r="T51" s="28"/>
      <c r="U51" s="28"/>
      <c r="V51" s="26" t="s">
        <v>46</v>
      </c>
      <c r="W51" s="27"/>
      <c r="X51" s="9"/>
    </row>
    <row r="52" spans="1:24" s="1" customFormat="1" ht="11.25" customHeight="1" x14ac:dyDescent="0.2">
      <c r="A52" s="31"/>
      <c r="B52" s="9"/>
      <c r="C52" s="74" t="s">
        <v>71</v>
      </c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  <c r="P52" s="74"/>
      <c r="Q52" s="74"/>
      <c r="R52" s="74"/>
      <c r="S52" s="74"/>
      <c r="T52" s="74"/>
      <c r="U52" s="74"/>
      <c r="V52" s="74"/>
      <c r="W52" s="74"/>
      <c r="X52" s="9"/>
    </row>
    <row r="53" spans="1:24" s="1" customFormat="1" ht="11.25" customHeight="1" x14ac:dyDescent="0.2">
      <c r="A53" s="23" t="s">
        <v>11</v>
      </c>
      <c r="B53" s="9"/>
      <c r="C53" s="42">
        <f>C6/0.13923</f>
        <v>1637.5781081663436</v>
      </c>
      <c r="D53" s="43"/>
      <c r="E53" s="42">
        <f>E6/0.13923</f>
        <v>6428.2123105652518</v>
      </c>
      <c r="F53" s="43"/>
      <c r="G53" s="70">
        <v>-3</v>
      </c>
      <c r="H53" s="9"/>
      <c r="I53" s="34" t="s">
        <v>12</v>
      </c>
      <c r="J53" s="9"/>
      <c r="K53" s="35" t="s">
        <v>13</v>
      </c>
      <c r="L53" s="9"/>
      <c r="M53" s="70">
        <v>-3</v>
      </c>
      <c r="N53" s="43"/>
      <c r="O53" s="42">
        <f>O6/0.13923</f>
        <v>430.94160741219565</v>
      </c>
      <c r="P53" s="43"/>
      <c r="Q53" s="42">
        <f>Q6/0.13923</f>
        <v>287.29440494146377</v>
      </c>
      <c r="R53" s="43"/>
      <c r="S53" s="42">
        <f>S6/0.13923</f>
        <v>1027.0774976657331</v>
      </c>
      <c r="T53" s="43"/>
      <c r="U53" s="43"/>
      <c r="V53" s="42">
        <f>V6/0.13923</f>
        <v>165.19428284134167</v>
      </c>
      <c r="W53" s="9"/>
      <c r="X53" s="9"/>
    </row>
    <row r="54" spans="1:24" s="1" customFormat="1" ht="11.25" customHeight="1" x14ac:dyDescent="0.2">
      <c r="A54" s="23" t="s">
        <v>14</v>
      </c>
      <c r="B54" s="9"/>
      <c r="C54" s="44">
        <f>C7/0.15326</f>
        <v>1598.5906303014485</v>
      </c>
      <c r="D54" s="25"/>
      <c r="E54" s="44">
        <f>E7/0.15326</f>
        <v>6570.5337335247286</v>
      </c>
      <c r="F54" s="25"/>
      <c r="G54" s="70">
        <v>-3</v>
      </c>
      <c r="H54" s="9"/>
      <c r="I54" s="37" t="s">
        <v>13</v>
      </c>
      <c r="J54" s="9"/>
      <c r="K54" s="37" t="s">
        <v>13</v>
      </c>
      <c r="L54" s="9"/>
      <c r="M54" s="70">
        <v>-3</v>
      </c>
      <c r="N54" s="25"/>
      <c r="O54" s="44">
        <f>O7/0.15326</f>
        <v>417.59102179303142</v>
      </c>
      <c r="P54" s="25"/>
      <c r="Q54" s="44">
        <f>Q7/0.15326</f>
        <v>352.34242463787029</v>
      </c>
      <c r="R54" s="25"/>
      <c r="S54" s="44">
        <f>S7/0.15326</f>
        <v>1507.2425942842228</v>
      </c>
      <c r="T54" s="25"/>
      <c r="U54" s="25"/>
      <c r="V54" s="44">
        <f>V7/0.15326</f>
        <v>137.02205402583843</v>
      </c>
      <c r="W54" s="9"/>
      <c r="X54" s="9"/>
    </row>
    <row r="55" spans="1:24" s="1" customFormat="1" ht="11.25" customHeight="1" x14ac:dyDescent="0.2">
      <c r="A55" s="23" t="s">
        <v>15</v>
      </c>
      <c r="B55" s="9"/>
      <c r="C55" s="44">
        <f>C8/0.16632</f>
        <v>1623.3766233766235</v>
      </c>
      <c r="D55" s="25"/>
      <c r="E55" s="44">
        <f>E8/0.16632</f>
        <v>6782.1067821067827</v>
      </c>
      <c r="F55" s="25"/>
      <c r="G55" s="70">
        <v>-3</v>
      </c>
      <c r="H55" s="9"/>
      <c r="I55" s="37" t="s">
        <v>13</v>
      </c>
      <c r="J55" s="9"/>
      <c r="K55" s="37" t="s">
        <v>13</v>
      </c>
      <c r="L55" s="9"/>
      <c r="M55" s="70">
        <v>-3</v>
      </c>
      <c r="N55" s="25"/>
      <c r="O55" s="44">
        <f>O8/0.16632</f>
        <v>396.82539682539681</v>
      </c>
      <c r="P55" s="25"/>
      <c r="Q55" s="44">
        <f>Q8/0.16632</f>
        <v>517.07551707551704</v>
      </c>
      <c r="R55" s="25"/>
      <c r="S55" s="44">
        <f>S8/0.16632</f>
        <v>1689.5141895141896</v>
      </c>
      <c r="T55" s="25"/>
      <c r="U55" s="25"/>
      <c r="V55" s="44">
        <f>V8/0.16632</f>
        <v>126.26262626262627</v>
      </c>
      <c r="W55" s="9"/>
      <c r="X55" s="9"/>
    </row>
    <row r="56" spans="1:24" s="1" customFormat="1" ht="11.25" customHeight="1" x14ac:dyDescent="0.2">
      <c r="A56" s="23" t="s">
        <v>16</v>
      </c>
      <c r="B56" s="9"/>
      <c r="C56" s="44">
        <f>C9/0.1797</f>
        <v>1630.4952698942682</v>
      </c>
      <c r="D56" s="25"/>
      <c r="E56" s="44">
        <f>E9/0.1797</f>
        <v>6855.8708959376736</v>
      </c>
      <c r="F56" s="25"/>
      <c r="G56" s="70">
        <v>-3</v>
      </c>
      <c r="H56" s="9"/>
      <c r="I56" s="37" t="s">
        <v>13</v>
      </c>
      <c r="J56" s="9"/>
      <c r="K56" s="37" t="s">
        <v>13</v>
      </c>
      <c r="L56" s="9"/>
      <c r="M56" s="70">
        <v>-3</v>
      </c>
      <c r="N56" s="25"/>
      <c r="O56" s="44">
        <f>O9/0.1797</f>
        <v>389.53811908736782</v>
      </c>
      <c r="P56" s="44"/>
      <c r="Q56" s="44">
        <f>Q9/0.1797</f>
        <v>461.88091263216472</v>
      </c>
      <c r="R56" s="25"/>
      <c r="S56" s="44">
        <f>S9/0.1797</f>
        <v>934.89148580968276</v>
      </c>
      <c r="T56" s="25"/>
      <c r="U56" s="25"/>
      <c r="V56" s="44">
        <f>V9/0.1797</f>
        <v>122.42626599888703</v>
      </c>
      <c r="W56" s="9"/>
      <c r="X56" s="9"/>
    </row>
    <row r="57" spans="1:24" s="1" customFormat="1" ht="11.25" customHeight="1" x14ac:dyDescent="0.2">
      <c r="A57" s="23" t="s">
        <v>17</v>
      </c>
      <c r="B57" s="9"/>
      <c r="C57" s="44">
        <f>C10/0.19709</f>
        <v>1608.4022527779189</v>
      </c>
      <c r="D57" s="25"/>
      <c r="E57" s="44">
        <f>E10/0.19709</f>
        <v>7169.3135115936884</v>
      </c>
      <c r="F57" s="25"/>
      <c r="G57" s="70">
        <v>-3</v>
      </c>
      <c r="H57" s="9"/>
      <c r="I57" s="37" t="s">
        <v>13</v>
      </c>
      <c r="J57" s="9"/>
      <c r="K57" s="37" t="s">
        <v>13</v>
      </c>
      <c r="L57" s="9"/>
      <c r="M57" s="70">
        <v>-3</v>
      </c>
      <c r="N57" s="25"/>
      <c r="O57" s="44">
        <f>O10/0.19709</f>
        <v>370.38916231163432</v>
      </c>
      <c r="P57" s="25"/>
      <c r="Q57" s="44">
        <f>Q10/0.19709</f>
        <v>446.4965244304633</v>
      </c>
      <c r="R57" s="25"/>
      <c r="S57" s="44">
        <f>S10/0.19709</f>
        <v>913.28834542594757</v>
      </c>
      <c r="T57" s="25"/>
      <c r="U57" s="25"/>
      <c r="V57" s="44">
        <f>V10/0.19709</f>
        <v>126.84560353138161</v>
      </c>
      <c r="W57" s="9"/>
      <c r="X57" s="9"/>
    </row>
    <row r="58" spans="1:24" s="1" customFormat="1" ht="11.25" customHeight="1" x14ac:dyDescent="0.2">
      <c r="A58" s="23" t="s">
        <v>18</v>
      </c>
      <c r="B58" s="9"/>
      <c r="C58" s="44">
        <f>C11/0.21939</f>
        <v>1526.9611194676147</v>
      </c>
      <c r="D58" s="25"/>
      <c r="E58" s="44">
        <f>E11/0.21939</f>
        <v>6878.1621769451658</v>
      </c>
      <c r="F58" s="25"/>
      <c r="G58" s="70">
        <v>-3</v>
      </c>
      <c r="H58" s="9"/>
      <c r="I58" s="37" t="s">
        <v>13</v>
      </c>
      <c r="J58" s="9"/>
      <c r="K58" s="37" t="s">
        <v>13</v>
      </c>
      <c r="L58" s="9"/>
      <c r="M58" s="70">
        <v>-3</v>
      </c>
      <c r="N58" s="25"/>
      <c r="O58" s="44">
        <f>O11/0.21939</f>
        <v>396.55408177218652</v>
      </c>
      <c r="P58" s="25"/>
      <c r="Q58" s="44">
        <f>Q11/0.21939</f>
        <v>410.22836045398606</v>
      </c>
      <c r="R58" s="25"/>
      <c r="S58" s="44">
        <f>S11/0.21939</f>
        <v>478.59975386298373</v>
      </c>
      <c r="T58" s="25"/>
      <c r="U58" s="25"/>
      <c r="V58" s="44">
        <f>V11/0.21939</f>
        <v>127.626601030129</v>
      </c>
      <c r="W58" s="9"/>
      <c r="X58" s="9"/>
    </row>
    <row r="59" spans="1:24" s="1" customFormat="1" ht="11.25" customHeight="1" x14ac:dyDescent="0.2">
      <c r="A59" s="23" t="s">
        <v>19</v>
      </c>
      <c r="B59" s="9"/>
      <c r="C59" s="44">
        <f>C12/0.24644</f>
        <v>1485.1485148514853</v>
      </c>
      <c r="D59" s="25"/>
      <c r="E59" s="44">
        <f>E12/0.24644</f>
        <v>6780.5551046907967</v>
      </c>
      <c r="F59" s="25"/>
      <c r="G59" s="70">
        <v>-3</v>
      </c>
      <c r="H59" s="9"/>
      <c r="I59" s="37" t="s">
        <v>13</v>
      </c>
      <c r="J59" s="9"/>
      <c r="K59" s="37" t="s">
        <v>13</v>
      </c>
      <c r="L59" s="9"/>
      <c r="M59" s="70">
        <v>-3</v>
      </c>
      <c r="N59" s="25"/>
      <c r="O59" s="44">
        <f>O12/0.24644</f>
        <v>365.20045447167666</v>
      </c>
      <c r="P59" s="25"/>
      <c r="Q59" s="44">
        <f>Q12/0.24644</f>
        <v>466.64502515825353</v>
      </c>
      <c r="R59" s="25"/>
      <c r="S59" s="44">
        <f>S12/0.24644</f>
        <v>381.43158578152901</v>
      </c>
      <c r="T59" s="25"/>
      <c r="U59" s="25"/>
      <c r="V59" s="44">
        <f>V12/0.24644</f>
        <v>117.67570199642915</v>
      </c>
      <c r="W59" s="9"/>
      <c r="X59" s="9"/>
    </row>
    <row r="60" spans="1:24" s="1" customFormat="1" ht="11.25" customHeight="1" x14ac:dyDescent="0.2">
      <c r="A60" s="23" t="s">
        <v>20</v>
      </c>
      <c r="B60" s="9"/>
      <c r="C60" s="44">
        <f>C13/0.27567</f>
        <v>1316.7918163021002</v>
      </c>
      <c r="D60" s="25"/>
      <c r="E60" s="44">
        <f>E13/0.27567</f>
        <v>6667.3921717996145</v>
      </c>
      <c r="F60" s="25"/>
      <c r="G60" s="70">
        <v>-3</v>
      </c>
      <c r="H60" s="9"/>
      <c r="I60" s="37" t="s">
        <v>13</v>
      </c>
      <c r="J60" s="9"/>
      <c r="K60" s="37" t="s">
        <v>13</v>
      </c>
      <c r="L60" s="9"/>
      <c r="M60" s="70">
        <v>-3</v>
      </c>
      <c r="N60" s="25"/>
      <c r="O60" s="44">
        <f>O13/0.27567</f>
        <v>337.35988682119921</v>
      </c>
      <c r="P60" s="25"/>
      <c r="Q60" s="44">
        <f>Q13/0.27567</f>
        <v>420.79297711031302</v>
      </c>
      <c r="R60" s="25"/>
      <c r="S60" s="44">
        <f>S13/0.27567</f>
        <v>475.20586208147421</v>
      </c>
      <c r="T60" s="25"/>
      <c r="U60" s="25"/>
      <c r="V60" s="44">
        <f>V13/0.27567</f>
        <v>112.45329560706641</v>
      </c>
      <c r="W60" s="9"/>
      <c r="X60" s="9"/>
    </row>
    <row r="61" spans="1:24" s="1" customFormat="1" ht="11.25" customHeight="1" x14ac:dyDescent="0.2">
      <c r="A61" s="23" t="s">
        <v>21</v>
      </c>
      <c r="B61" s="9"/>
      <c r="C61" s="44">
        <f>C14/0.30192</f>
        <v>1331.4785373608902</v>
      </c>
      <c r="D61" s="25"/>
      <c r="E61" s="44">
        <f>E14/0.30192</f>
        <v>6654.0805511393746</v>
      </c>
      <c r="F61" s="25"/>
      <c r="G61" s="70">
        <v>-3</v>
      </c>
      <c r="H61" s="9"/>
      <c r="I61" s="37" t="s">
        <v>13</v>
      </c>
      <c r="J61" s="9"/>
      <c r="K61" s="37" t="s">
        <v>13</v>
      </c>
      <c r="L61" s="9"/>
      <c r="M61" s="70">
        <v>-3</v>
      </c>
      <c r="N61" s="25"/>
      <c r="O61" s="44">
        <f>O14/0.30192</f>
        <v>321.27715951245358</v>
      </c>
      <c r="P61" s="25"/>
      <c r="Q61" s="44">
        <f>Q14/0.30192</f>
        <v>417.32909379968203</v>
      </c>
      <c r="R61" s="25"/>
      <c r="S61" s="44">
        <f>S14/0.30192</f>
        <v>831.34605193428717</v>
      </c>
      <c r="T61" s="25"/>
      <c r="U61" s="25"/>
      <c r="V61" s="44">
        <f>V14/0.30192</f>
        <v>109.30047694753576</v>
      </c>
      <c r="W61" s="9"/>
      <c r="X61" s="9"/>
    </row>
    <row r="62" spans="1:24" s="1" customFormat="1" ht="11.25" customHeight="1" x14ac:dyDescent="0.2">
      <c r="A62" s="23" t="s">
        <v>22</v>
      </c>
      <c r="B62" s="9"/>
      <c r="C62" s="44">
        <f>C15/0.32592</f>
        <v>1261.0456553755523</v>
      </c>
      <c r="D62" s="25"/>
      <c r="E62" s="44">
        <f>E15/0.32592</f>
        <v>6707.1674030436916</v>
      </c>
      <c r="F62" s="25"/>
      <c r="G62" s="70">
        <v>-3</v>
      </c>
      <c r="H62" s="9"/>
      <c r="I62" s="37" t="s">
        <v>13</v>
      </c>
      <c r="J62" s="9"/>
      <c r="K62" s="37" t="s">
        <v>13</v>
      </c>
      <c r="L62" s="9"/>
      <c r="M62" s="70">
        <v>-3</v>
      </c>
      <c r="N62" s="25"/>
      <c r="O62" s="44">
        <f>O15/0.32592</f>
        <v>309.89199803632795</v>
      </c>
      <c r="P62" s="25"/>
      <c r="Q62" s="44">
        <f>Q15/0.32592</f>
        <v>392.73441335297008</v>
      </c>
      <c r="R62" s="25"/>
      <c r="S62" s="44">
        <f>S15/0.32592</f>
        <v>871.37947962690237</v>
      </c>
      <c r="T62" s="25"/>
      <c r="U62" s="25"/>
      <c r="V62" s="44">
        <f>V15/0.32592</f>
        <v>110.45655375552283</v>
      </c>
      <c r="W62" s="9"/>
      <c r="X62" s="9"/>
    </row>
    <row r="63" spans="1:24" s="1" customFormat="1" ht="11.25" customHeight="1" x14ac:dyDescent="0.2">
      <c r="A63" s="23" t="s">
        <v>23</v>
      </c>
      <c r="B63" s="9"/>
      <c r="C63" s="44">
        <f>C16/0.3465</f>
        <v>1304.4733044733046</v>
      </c>
      <c r="D63" s="25"/>
      <c r="E63" s="44">
        <f>E16/0.3465</f>
        <v>6773.4487734487739</v>
      </c>
      <c r="F63" s="25"/>
      <c r="G63" s="70">
        <v>-3</v>
      </c>
      <c r="H63" s="9"/>
      <c r="I63" s="37" t="s">
        <v>13</v>
      </c>
      <c r="J63" s="9"/>
      <c r="K63" s="37" t="s">
        <v>13</v>
      </c>
      <c r="L63" s="9"/>
      <c r="M63" s="70">
        <v>-3</v>
      </c>
      <c r="N63" s="25"/>
      <c r="O63" s="44">
        <f>O16/0.3465</f>
        <v>300.14430014430019</v>
      </c>
      <c r="P63" s="25"/>
      <c r="Q63" s="44">
        <f>Q16/0.3465</f>
        <v>389.61038961038963</v>
      </c>
      <c r="R63" s="25"/>
      <c r="S63" s="44">
        <f>S16/0.3465</f>
        <v>978.35497835497847</v>
      </c>
      <c r="T63" s="25"/>
      <c r="U63" s="25"/>
      <c r="V63" s="44">
        <f>V16/0.3465</f>
        <v>112.55411255411256</v>
      </c>
      <c r="W63" s="9"/>
      <c r="X63" s="9"/>
    </row>
    <row r="64" spans="1:24" s="1" customFormat="1" ht="11.25" customHeight="1" x14ac:dyDescent="0.2">
      <c r="A64" s="23" t="s">
        <v>24</v>
      </c>
      <c r="B64" s="9"/>
      <c r="C64" s="44">
        <f>C17/0.36658</f>
        <v>1396.6937639805772</v>
      </c>
      <c r="D64" s="25"/>
      <c r="E64" s="44">
        <f>E17/0.36658</f>
        <v>7122.5926127993889</v>
      </c>
      <c r="F64" s="25"/>
      <c r="G64" s="70">
        <v>-3</v>
      </c>
      <c r="H64" s="9"/>
      <c r="I64" s="37" t="s">
        <v>13</v>
      </c>
      <c r="J64" s="9"/>
      <c r="K64" s="37" t="s">
        <v>13</v>
      </c>
      <c r="L64" s="9"/>
      <c r="M64" s="70">
        <v>-3</v>
      </c>
      <c r="N64" s="25"/>
      <c r="O64" s="44">
        <f>O17/0.36658</f>
        <v>286.43133831632929</v>
      </c>
      <c r="P64" s="25"/>
      <c r="Q64" s="44">
        <f>Q17/0.36658</f>
        <v>403.73179115063556</v>
      </c>
      <c r="R64" s="25"/>
      <c r="S64" s="44">
        <f>S17/0.36658</f>
        <v>941.13154018222485</v>
      </c>
      <c r="T64" s="25"/>
      <c r="U64" s="25"/>
      <c r="V64" s="44">
        <f>V17/0.36658</f>
        <v>136.39587538872823</v>
      </c>
      <c r="W64" s="9"/>
      <c r="X64" s="9"/>
    </row>
    <row r="65" spans="1:24" s="1" customFormat="1" ht="11.25" customHeight="1" x14ac:dyDescent="0.2">
      <c r="A65" s="23" t="s">
        <v>25</v>
      </c>
      <c r="B65" s="9"/>
      <c r="C65" s="44">
        <f>C18/0.38999</f>
        <v>1389.779225108336</v>
      </c>
      <c r="D65" s="25"/>
      <c r="E65" s="44">
        <f>E18/0.38999</f>
        <v>6487.3458293802405</v>
      </c>
      <c r="F65" s="25"/>
      <c r="G65" s="70">
        <v>-3</v>
      </c>
      <c r="H65" s="9"/>
      <c r="I65" s="9"/>
      <c r="J65" s="9"/>
      <c r="K65" s="9"/>
      <c r="L65" s="9"/>
      <c r="M65" s="70">
        <v>-3</v>
      </c>
      <c r="N65" s="25"/>
      <c r="O65" s="44">
        <f>O18/0.38999</f>
        <v>302.57186081694402</v>
      </c>
      <c r="P65" s="25"/>
      <c r="Q65" s="44">
        <f>Q18/0.38999</f>
        <v>371.80440524116005</v>
      </c>
      <c r="R65" s="25"/>
      <c r="S65" s="44">
        <f>S18/0.38999</f>
        <v>956.4347803789841</v>
      </c>
      <c r="T65" s="25"/>
      <c r="U65" s="25"/>
      <c r="V65" s="44">
        <f>V18/0.38999</f>
        <v>120.51591066437601</v>
      </c>
      <c r="W65" s="9"/>
      <c r="X65" s="9"/>
    </row>
    <row r="66" spans="1:24" s="1" customFormat="1" ht="11.25" customHeight="1" x14ac:dyDescent="0.2">
      <c r="A66" s="23" t="s">
        <v>26</v>
      </c>
      <c r="B66" s="9"/>
      <c r="C66" s="44">
        <f>C19/0.41844</f>
        <v>1393.2702418506835</v>
      </c>
      <c r="D66" s="25"/>
      <c r="E66" s="44">
        <f>E19/0.41844</f>
        <v>6478.8261160500915</v>
      </c>
      <c r="F66" s="25"/>
      <c r="G66" s="70">
        <v>-3</v>
      </c>
      <c r="H66" s="9"/>
      <c r="I66" s="37" t="s">
        <v>13</v>
      </c>
      <c r="J66" s="9"/>
      <c r="K66" s="37" t="s">
        <v>13</v>
      </c>
      <c r="L66" s="9"/>
      <c r="M66" s="70">
        <v>-3</v>
      </c>
      <c r="N66" s="25"/>
      <c r="O66" s="44">
        <f>O19/0.41844</f>
        <v>301.11843991970176</v>
      </c>
      <c r="P66" s="25"/>
      <c r="Q66" s="44">
        <f>Q19/0.41844</f>
        <v>372.81330656724981</v>
      </c>
      <c r="R66" s="25"/>
      <c r="S66" s="44">
        <f>S19/0.41844</f>
        <v>1197.3042730140523</v>
      </c>
      <c r="T66" s="25"/>
      <c r="U66" s="25"/>
      <c r="V66" s="44">
        <f>V19/0.41844</f>
        <v>117.10161552432847</v>
      </c>
      <c r="W66" s="9"/>
      <c r="X66" s="9"/>
    </row>
    <row r="67" spans="1:24" s="1" customFormat="1" ht="11.25" customHeight="1" x14ac:dyDescent="0.2">
      <c r="A67" s="23" t="s">
        <v>27</v>
      </c>
      <c r="B67" s="9"/>
      <c r="C67" s="44">
        <f>C20/0.45848</f>
        <v>1456.9883091956028</v>
      </c>
      <c r="D67" s="25"/>
      <c r="E67" s="44">
        <f>E20/0.45848</f>
        <v>6268.5395218984468</v>
      </c>
      <c r="F67" s="25"/>
      <c r="G67" s="70">
        <v>-3</v>
      </c>
      <c r="H67" s="9"/>
      <c r="I67" s="37" t="s">
        <v>13</v>
      </c>
      <c r="J67" s="9"/>
      <c r="K67" s="37" t="s">
        <v>13</v>
      </c>
      <c r="L67" s="9"/>
      <c r="M67" s="70">
        <v>-3</v>
      </c>
      <c r="N67" s="25"/>
      <c r="O67" s="44">
        <f>O20/0.45848</f>
        <v>300.99459082184609</v>
      </c>
      <c r="P67" s="25"/>
      <c r="Q67" s="44">
        <f>Q20/0.45848</f>
        <v>370.79043796894086</v>
      </c>
      <c r="R67" s="25"/>
      <c r="S67" s="44">
        <f>S20/0.45848</f>
        <v>1393.7358227185482</v>
      </c>
      <c r="T67" s="25"/>
      <c r="U67" s="25"/>
      <c r="V67" s="44">
        <f>V20/0.45848</f>
        <v>115.59937183737567</v>
      </c>
      <c r="W67" s="9"/>
      <c r="X67" s="9"/>
    </row>
    <row r="68" spans="1:24" s="1" customFormat="1" ht="11.25" customHeight="1" x14ac:dyDescent="0.2">
      <c r="A68" s="23" t="s">
        <v>28</v>
      </c>
      <c r="B68" s="9"/>
      <c r="C68" s="44">
        <f>C21/0.494</f>
        <v>1641.821862348178</v>
      </c>
      <c r="D68" s="25"/>
      <c r="E68" s="44">
        <f>E21/0.494</f>
        <v>6654.392712550607</v>
      </c>
      <c r="F68" s="25"/>
      <c r="G68" s="70">
        <v>-3</v>
      </c>
      <c r="H68" s="25"/>
      <c r="I68" s="25">
        <f>I21/0.792817</f>
        <v>0</v>
      </c>
      <c r="J68" s="25">
        <f>J21/0.792817</f>
        <v>0</v>
      </c>
      <c r="K68" s="25">
        <f>K21/0.792817</f>
        <v>0</v>
      </c>
      <c r="L68" s="25">
        <f>L21/0.792817</f>
        <v>0</v>
      </c>
      <c r="M68" s="70">
        <v>-3</v>
      </c>
      <c r="N68" s="25"/>
      <c r="O68" s="44">
        <f>O21/0.494</f>
        <v>312.5506072874494</v>
      </c>
      <c r="P68" s="25"/>
      <c r="Q68" s="44">
        <f>Q21/0.494</f>
        <v>387.59109311740889</v>
      </c>
      <c r="R68" s="25"/>
      <c r="S68" s="44">
        <f>S21/0.494</f>
        <v>1490.161943319838</v>
      </c>
      <c r="T68" s="25"/>
      <c r="U68" s="25"/>
      <c r="V68" s="44">
        <f>V21/0.494</f>
        <v>124.08906882591093</v>
      </c>
      <c r="W68" s="9"/>
      <c r="X68" s="9"/>
    </row>
    <row r="69" spans="1:24" s="1" customFormat="1" ht="11.25" customHeight="1" x14ac:dyDescent="0.2">
      <c r="A69" s="23" t="s">
        <v>29</v>
      </c>
      <c r="B69" s="9"/>
      <c r="C69" s="44">
        <f>C22/0.53402</f>
        <v>1689.7868993670647</v>
      </c>
      <c r="D69" s="25"/>
      <c r="E69" s="44">
        <f>E22/0.53402</f>
        <v>6840.099621737013</v>
      </c>
      <c r="F69" s="25"/>
      <c r="G69" s="70">
        <v>-3</v>
      </c>
      <c r="H69" s="25"/>
      <c r="I69" s="25">
        <f>I22/0.842134</f>
        <v>0</v>
      </c>
      <c r="J69" s="25">
        <f>J22/0.842134</f>
        <v>0</v>
      </c>
      <c r="K69" s="25">
        <f>K22/0.842134</f>
        <v>0</v>
      </c>
      <c r="L69" s="25">
        <f>L22/0.842134</f>
        <v>0</v>
      </c>
      <c r="M69" s="70">
        <v>-3</v>
      </c>
      <c r="N69" s="25"/>
      <c r="O69" s="44">
        <f>O22/0.53402</f>
        <v>319.08917269016138</v>
      </c>
      <c r="P69" s="25"/>
      <c r="Q69" s="44">
        <f>Q22/0.53402</f>
        <v>405.41552750833296</v>
      </c>
      <c r="R69" s="25"/>
      <c r="S69" s="44">
        <f>S22/0.53402</f>
        <v>1699.917606082169</v>
      </c>
      <c r="T69" s="25"/>
      <c r="U69" s="25"/>
      <c r="V69" s="44">
        <f>V22/0.53402</f>
        <v>128.30980113104377</v>
      </c>
      <c r="W69" s="9"/>
      <c r="X69" s="9"/>
    </row>
    <row r="70" spans="1:24" s="1" customFormat="1" ht="11.25" customHeight="1" x14ac:dyDescent="0.2">
      <c r="A70" s="23" t="s">
        <v>30</v>
      </c>
      <c r="B70" s="9"/>
      <c r="C70" s="44">
        <f>C23/0.57193</f>
        <v>1697.7602154109768</v>
      </c>
      <c r="D70" s="25"/>
      <c r="E70" s="44">
        <f>E23/0.57193</f>
        <v>5787.4215376007551</v>
      </c>
      <c r="F70" s="25"/>
      <c r="G70" s="70">
        <v>-3</v>
      </c>
      <c r="H70" s="25"/>
      <c r="I70" s="25">
        <f>I23/0.892113</f>
        <v>0</v>
      </c>
      <c r="J70" s="25">
        <f>J23/0.892113</f>
        <v>0</v>
      </c>
      <c r="K70" s="25">
        <f>K23/0.892113</f>
        <v>0</v>
      </c>
      <c r="L70" s="25">
        <f>L23/0.892113</f>
        <v>0</v>
      </c>
      <c r="M70" s="70">
        <v>-3</v>
      </c>
      <c r="N70" s="25"/>
      <c r="O70" s="44">
        <f>O23/0.57193</f>
        <v>326.96308988862273</v>
      </c>
      <c r="P70" s="25"/>
      <c r="Q70" s="44">
        <f>Q23/0.57193</f>
        <v>424.87717028307657</v>
      </c>
      <c r="R70" s="25"/>
      <c r="S70" s="44">
        <f>S23/0.57193</f>
        <v>1692.5148182469882</v>
      </c>
      <c r="T70" s="25"/>
      <c r="U70" s="25"/>
      <c r="V70" s="44">
        <f>V23/0.57193</f>
        <v>139.87725770636266</v>
      </c>
      <c r="W70" s="9"/>
      <c r="X70" s="9"/>
    </row>
    <row r="71" spans="1:24" s="1" customFormat="1" ht="11.25" customHeight="1" x14ac:dyDescent="0.2">
      <c r="A71" s="23" t="s">
        <v>31</v>
      </c>
      <c r="B71" s="9"/>
      <c r="C71" s="44">
        <f>C24/0.60592</f>
        <v>1671.8378663850012</v>
      </c>
      <c r="D71" s="25"/>
      <c r="E71" s="44">
        <f>E24/0.60592</f>
        <v>6018.9463955637702</v>
      </c>
      <c r="F71" s="25"/>
      <c r="G71" s="70">
        <v>-3</v>
      </c>
      <c r="H71" s="25"/>
      <c r="I71" s="25">
        <f>I24/0.944651</f>
        <v>0</v>
      </c>
      <c r="J71" s="25">
        <f>J24/0.944651</f>
        <v>0</v>
      </c>
      <c r="K71" s="25">
        <f>K24/0.944651</f>
        <v>0</v>
      </c>
      <c r="L71" s="25">
        <f>L24/0.944651</f>
        <v>0</v>
      </c>
      <c r="M71" s="70">
        <v>-3</v>
      </c>
      <c r="N71" s="25"/>
      <c r="O71" s="44">
        <f>O24/0.60592</f>
        <v>321.82466332189068</v>
      </c>
      <c r="P71" s="25"/>
      <c r="Q71" s="44">
        <f>Q24/0.60592</f>
        <v>415.89648798521256</v>
      </c>
      <c r="R71" s="25"/>
      <c r="S71" s="44">
        <f>S24/0.60592</f>
        <v>1703.1951412727753</v>
      </c>
      <c r="T71" s="25"/>
      <c r="U71" s="25"/>
      <c r="V71" s="44">
        <f>V24/0.60592</f>
        <v>145.23369421705834</v>
      </c>
      <c r="W71" s="9"/>
      <c r="X71" s="9"/>
    </row>
    <row r="72" spans="1:24" s="1" customFormat="1" ht="11.25" customHeight="1" x14ac:dyDescent="0.2">
      <c r="A72" s="23" t="s">
        <v>32</v>
      </c>
      <c r="B72" s="9"/>
      <c r="C72" s="44">
        <f>C25/0.63114</f>
        <v>1593.9411224134105</v>
      </c>
      <c r="D72" s="25"/>
      <c r="E72" s="44">
        <f>E25/0.63114</f>
        <v>5684.9510409734767</v>
      </c>
      <c r="F72" s="25"/>
      <c r="G72" s="70">
        <v>-3</v>
      </c>
      <c r="H72" s="25"/>
      <c r="I72" s="25">
        <f>I25/0.989479</f>
        <v>0</v>
      </c>
      <c r="J72" s="25">
        <f>J25/0.989479</f>
        <v>0</v>
      </c>
      <c r="K72" s="25">
        <f>K25/0.989479</f>
        <v>0</v>
      </c>
      <c r="L72" s="25">
        <f>L25/0.989479</f>
        <v>0</v>
      </c>
      <c r="M72" s="70">
        <v>-3</v>
      </c>
      <c r="N72" s="25"/>
      <c r="O72" s="44">
        <f>O25/0.63114</f>
        <v>312.13359951833189</v>
      </c>
      <c r="P72" s="25"/>
      <c r="Q72" s="44">
        <f>Q25/0.63114</f>
        <v>399.27749786101339</v>
      </c>
      <c r="R72" s="25"/>
      <c r="S72" s="44">
        <f>S25/0.63114</f>
        <v>1600.2788604746966</v>
      </c>
      <c r="T72" s="25"/>
      <c r="U72" s="25"/>
      <c r="V72" s="44">
        <f>V25/0.63114</f>
        <v>150.52127895554077</v>
      </c>
      <c r="W72" s="9"/>
      <c r="X72" s="9"/>
    </row>
    <row r="73" spans="1:24" s="1" customFormat="1" ht="11.25" customHeight="1" x14ac:dyDescent="0.2">
      <c r="A73" s="23">
        <v>1995</v>
      </c>
      <c r="B73" s="19"/>
      <c r="C73" s="45">
        <f>C26/0.65545</f>
        <v>1597.3758486535969</v>
      </c>
      <c r="D73" s="21"/>
      <c r="E73" s="45">
        <f>E26/0.65545</f>
        <v>5826.5313906476467</v>
      </c>
      <c r="F73" s="25"/>
      <c r="G73" s="70">
        <v>-3</v>
      </c>
      <c r="H73" s="25"/>
      <c r="I73" s="25"/>
      <c r="J73" s="25"/>
      <c r="K73" s="25"/>
      <c r="L73" s="25"/>
      <c r="M73" s="70">
        <v>-3</v>
      </c>
      <c r="N73" s="25"/>
      <c r="O73" s="45">
        <f>O26/0.65545</f>
        <v>305.13387748874823</v>
      </c>
      <c r="P73" s="25"/>
      <c r="Q73" s="45">
        <f>Q26/0.65545</f>
        <v>384.46868563582274</v>
      </c>
      <c r="R73" s="25"/>
      <c r="S73" s="45">
        <f>S26/0.65545</f>
        <v>2424.2886566481043</v>
      </c>
      <c r="T73" s="25"/>
      <c r="U73" s="25"/>
      <c r="V73" s="45">
        <f>V26/0.65545</f>
        <v>158.66961629414905</v>
      </c>
      <c r="W73" s="9"/>
      <c r="X73" s="9"/>
    </row>
    <row r="74" spans="1:24" s="1" customFormat="1" ht="11.25" customHeight="1" x14ac:dyDescent="0.2">
      <c r="A74" s="23">
        <v>1996</v>
      </c>
      <c r="B74" s="19"/>
      <c r="C74" s="45">
        <f>C27/0.67242</f>
        <v>1558.54971595134</v>
      </c>
      <c r="D74" s="21"/>
      <c r="E74" s="45">
        <f>E27/0.67242</f>
        <v>5393.9502096903716</v>
      </c>
      <c r="F74" s="25"/>
      <c r="G74" s="70">
        <v>-3</v>
      </c>
      <c r="H74" s="25"/>
      <c r="I74" s="25"/>
      <c r="J74" s="25"/>
      <c r="K74" s="25"/>
      <c r="L74" s="25"/>
      <c r="M74" s="70">
        <v>-3</v>
      </c>
      <c r="N74" s="25"/>
      <c r="O74" s="45">
        <f>O27/0.67242</f>
        <v>304.86898069658844</v>
      </c>
      <c r="P74" s="25"/>
      <c r="Q74" s="45">
        <f>Q27/0.67242</f>
        <v>365.84277683590614</v>
      </c>
      <c r="R74" s="25"/>
      <c r="S74" s="45">
        <f>S27/0.67242</f>
        <v>2758.6924838642512</v>
      </c>
      <c r="T74" s="25"/>
      <c r="U74" s="25"/>
      <c r="V74" s="45">
        <f>V27/0.67242</f>
        <v>166.56256506350198</v>
      </c>
      <c r="W74" s="9"/>
      <c r="X74" s="9"/>
    </row>
    <row r="75" spans="1:24" s="1" customFormat="1" ht="11.25" customHeight="1" x14ac:dyDescent="0.2">
      <c r="A75" s="22">
        <v>1997</v>
      </c>
      <c r="B75" s="19"/>
      <c r="C75" s="45">
        <f>C28/0.68702</f>
        <v>1617.1722070075589</v>
      </c>
      <c r="D75" s="21"/>
      <c r="E75" s="45">
        <f>E28/0.68702</f>
        <v>5948.5969617278797</v>
      </c>
      <c r="F75" s="25"/>
      <c r="G75" s="70">
        <v>-3</v>
      </c>
      <c r="H75" s="25"/>
      <c r="I75" s="25"/>
      <c r="J75" s="25"/>
      <c r="K75" s="25"/>
      <c r="L75" s="25"/>
      <c r="M75" s="70">
        <v>-3</v>
      </c>
      <c r="N75" s="25"/>
      <c r="O75" s="45">
        <f>O28/0.68702</f>
        <v>299.14755456821695</v>
      </c>
      <c r="P75" s="21"/>
      <c r="Q75" s="45">
        <f>Q28/0.68702</f>
        <v>376.18513175054181</v>
      </c>
      <c r="R75" s="21"/>
      <c r="S75" s="45">
        <f>S28/0.68702</f>
        <v>2517.4011816159223</v>
      </c>
      <c r="T75" s="21"/>
      <c r="U75" s="21"/>
      <c r="V75" s="45">
        <f>V28/0.68702</f>
        <v>175.24413336030582</v>
      </c>
      <c r="W75" s="9"/>
      <c r="X75" s="9"/>
    </row>
    <row r="76" spans="1:24" s="1" customFormat="1" ht="11.25" customHeight="1" x14ac:dyDescent="0.2">
      <c r="A76" s="22">
        <v>1998</v>
      </c>
      <c r="B76" s="19"/>
      <c r="C76" s="45">
        <f>C29/0.69892</f>
        <v>1726.9771900304179</v>
      </c>
      <c r="D76" s="21"/>
      <c r="E76" s="45">
        <f>E29/0.69892</f>
        <v>6129.2271405673155</v>
      </c>
      <c r="F76" s="25"/>
      <c r="G76" s="70">
        <v>-3</v>
      </c>
      <c r="H76" s="25"/>
      <c r="I76" s="25"/>
      <c r="J76" s="25"/>
      <c r="K76" s="25"/>
      <c r="L76" s="25"/>
      <c r="M76" s="70">
        <v>-3</v>
      </c>
      <c r="N76" s="25"/>
      <c r="O76" s="45">
        <f>O29/0.69892</f>
        <v>299.74123545597354</v>
      </c>
      <c r="P76" s="21"/>
      <c r="Q76" s="45">
        <f>Q29/0.69892</f>
        <v>371.32593130958458</v>
      </c>
      <c r="R76" s="21"/>
      <c r="S76" s="45">
        <f>S29/0.69892</f>
        <v>1007.5967669477109</v>
      </c>
      <c r="T76" s="21"/>
      <c r="U76" s="21"/>
      <c r="V76" s="45">
        <f>V29/0.69892</f>
        <v>198.06585097430752</v>
      </c>
      <c r="W76" s="9"/>
      <c r="X76" s="9"/>
    </row>
    <row r="77" spans="1:24" s="1" customFormat="1" ht="11.25" customHeight="1" x14ac:dyDescent="0.2">
      <c r="A77" s="22">
        <v>1999</v>
      </c>
      <c r="B77" s="19"/>
      <c r="C77" s="45">
        <f>C30/0.71415</f>
        <v>1795.3076569177572</v>
      </c>
      <c r="D77" s="21"/>
      <c r="E77" s="45">
        <f>E30/0.71415</f>
        <v>5465.188473070828</v>
      </c>
      <c r="F77" s="25"/>
      <c r="G77" s="70">
        <v>-3</v>
      </c>
      <c r="H77" s="25"/>
      <c r="I77" s="25"/>
      <c r="J77" s="25"/>
      <c r="K77" s="25"/>
      <c r="L77" s="25"/>
      <c r="M77" s="70">
        <v>-3</v>
      </c>
      <c r="N77" s="25"/>
      <c r="O77" s="45">
        <f>O30/0.71415</f>
        <v>342.31301664379549</v>
      </c>
      <c r="P77" s="21"/>
      <c r="Q77" s="45">
        <f>Q30/0.71415</f>
        <v>385.28977573981609</v>
      </c>
      <c r="R77" s="21"/>
      <c r="S77" s="45">
        <f>S30/0.71415</f>
        <v>1490.5103290673369</v>
      </c>
      <c r="T77" s="21"/>
      <c r="U77" s="21"/>
      <c r="V77" s="45">
        <f>V30/0.71415</f>
        <v>225.65462425336273</v>
      </c>
      <c r="W77" s="9"/>
      <c r="X77" s="9"/>
    </row>
    <row r="78" spans="1:24" s="1" customFormat="1" ht="11.25" customHeight="1" x14ac:dyDescent="0.2">
      <c r="A78" s="22">
        <v>2000</v>
      </c>
      <c r="B78" s="19"/>
      <c r="C78" s="45">
        <f>C31/0.7326</f>
        <v>1853.0330234864196</v>
      </c>
      <c r="D78" s="21"/>
      <c r="E78" s="45">
        <f>E31/0.7326</f>
        <v>5246.6937038711367</v>
      </c>
      <c r="F78" s="21"/>
      <c r="G78" s="70">
        <v>-3</v>
      </c>
      <c r="H78" s="25"/>
      <c r="I78" s="25"/>
      <c r="J78" s="25"/>
      <c r="K78" s="25"/>
      <c r="L78" s="25"/>
      <c r="M78" s="70">
        <v>-3</v>
      </c>
      <c r="N78" s="25"/>
      <c r="O78" s="45">
        <f>O31/0.7326</f>
        <v>335.85035419921888</v>
      </c>
      <c r="P78" s="21"/>
      <c r="Q78" s="45">
        <f>Q31/0.7326</f>
        <v>397.4105567686837</v>
      </c>
      <c r="R78" s="21"/>
      <c r="S78" s="45">
        <f>S31/0.7326</f>
        <v>1075.3316684903868</v>
      </c>
      <c r="T78" s="21"/>
      <c r="U78" s="21"/>
      <c r="V78" s="45">
        <f>V31/0.7326</f>
        <v>256.45175535413625</v>
      </c>
      <c r="W78" s="19"/>
      <c r="X78" s="9"/>
    </row>
    <row r="79" spans="1:24" s="1" customFormat="1" ht="11.25" customHeight="1" x14ac:dyDescent="0.2">
      <c r="A79" s="22">
        <v>2001</v>
      </c>
      <c r="B79" s="19"/>
      <c r="C79" s="45">
        <f>C32/0.75728</f>
        <v>1920.5518161380985</v>
      </c>
      <c r="D79" s="21"/>
      <c r="E79" s="45">
        <f>E32/0.75728</f>
        <v>5290.2526700953686</v>
      </c>
      <c r="F79" s="21"/>
      <c r="G79" s="70">
        <v>-3</v>
      </c>
      <c r="H79" s="21"/>
      <c r="I79" s="21"/>
      <c r="J79" s="21"/>
      <c r="K79" s="21"/>
      <c r="L79" s="21"/>
      <c r="M79" s="70">
        <v>-3</v>
      </c>
      <c r="N79" s="21"/>
      <c r="O79" s="45">
        <f>O32/0.75728</f>
        <v>347.74484475414971</v>
      </c>
      <c r="P79" s="21"/>
      <c r="Q79" s="45">
        <f>Q32/0.75728</f>
        <v>408.52671568916674</v>
      </c>
      <c r="R79" s="21"/>
      <c r="S79" s="45">
        <f>S32/0.75728</f>
        <v>1050.286575894894</v>
      </c>
      <c r="T79" s="21"/>
      <c r="U79" s="21"/>
      <c r="V79" s="45">
        <f>V32/0.75728</f>
        <v>295.85316044434666</v>
      </c>
      <c r="W79" s="19"/>
      <c r="X79" s="9"/>
    </row>
    <row r="80" spans="1:24" s="1" customFormat="1" ht="11.25" customHeight="1" x14ac:dyDescent="0.2">
      <c r="A80" s="22">
        <v>2002</v>
      </c>
      <c r="B80" s="19"/>
      <c r="C80" s="45">
        <f>C33/0.77741</f>
        <v>1987.6084338018172</v>
      </c>
      <c r="D80" s="21"/>
      <c r="E80" s="45">
        <f>E33/0.77741</f>
        <v>5537.8766456179364</v>
      </c>
      <c r="F80" s="21"/>
      <c r="G80" s="70">
        <v>-3</v>
      </c>
      <c r="H80" s="21"/>
      <c r="I80" s="21"/>
      <c r="J80" s="21"/>
      <c r="K80" s="21"/>
      <c r="L80" s="21"/>
      <c r="M80" s="70">
        <v>-3</v>
      </c>
      <c r="N80" s="21"/>
      <c r="O80" s="45">
        <f>O33/0.77741</f>
        <v>347.74580190105252</v>
      </c>
      <c r="P80" s="21"/>
      <c r="Q80" s="45">
        <f>Q33/0.77741</f>
        <v>414.39340919027177</v>
      </c>
      <c r="R80" s="21"/>
      <c r="S80" s="45">
        <f>S33/0.77741</f>
        <v>1124.7491894621542</v>
      </c>
      <c r="T80" s="21"/>
      <c r="U80" s="21"/>
      <c r="V80" s="45">
        <f>V33/0.77741</f>
        <v>331.89823761129367</v>
      </c>
      <c r="W80" s="19"/>
      <c r="X80" s="9"/>
    </row>
    <row r="81" spans="1:26" s="1" customFormat="1" ht="11.25" customHeight="1" x14ac:dyDescent="0.2">
      <c r="A81" s="22">
        <v>2003</v>
      </c>
      <c r="B81" s="19"/>
      <c r="C81" s="45">
        <f>C34/0.80502</f>
        <v>1994.5748904537043</v>
      </c>
      <c r="D81" s="21"/>
      <c r="E81" s="45">
        <f>E34/0.80502</f>
        <v>5421.3941653399797</v>
      </c>
      <c r="F81" s="21"/>
      <c r="G81" s="70">
        <v>-3</v>
      </c>
      <c r="H81" s="21"/>
      <c r="I81" s="21"/>
      <c r="J81" s="21"/>
      <c r="K81" s="21"/>
      <c r="L81" s="21"/>
      <c r="M81" s="70">
        <v>-3</v>
      </c>
      <c r="N81" s="21"/>
      <c r="O81" s="45">
        <f>O34/0.80502</f>
        <v>353.50122987619005</v>
      </c>
      <c r="P81" s="21"/>
      <c r="Q81" s="45">
        <f>Q34/0.80502</f>
        <v>420.60148609871675</v>
      </c>
      <c r="R81" s="21"/>
      <c r="S81" s="45">
        <f>S34/0.80502</f>
        <v>1058.5210139621158</v>
      </c>
      <c r="T81" s="21"/>
      <c r="U81" s="21"/>
      <c r="V81" s="45">
        <f>V34/0.80502</f>
        <v>370.14964644914983</v>
      </c>
      <c r="W81" s="19"/>
      <c r="X81" s="19"/>
      <c r="Y81" s="46"/>
      <c r="Z81" s="46"/>
    </row>
    <row r="82" spans="1:26" s="1" customFormat="1" ht="11.25" customHeight="1" x14ac:dyDescent="0.2">
      <c r="A82" s="22">
        <v>2004</v>
      </c>
      <c r="B82" s="19"/>
      <c r="C82" s="45">
        <f>C35/0.83626</f>
        <v>1997.8121195045408</v>
      </c>
      <c r="D82" s="21"/>
      <c r="E82" s="45">
        <f>E35/0.83626</f>
        <v>5224.7627266324034</v>
      </c>
      <c r="F82" s="21"/>
      <c r="G82" s="70">
        <v>-3</v>
      </c>
      <c r="H82" s="21"/>
      <c r="I82" s="21"/>
      <c r="J82" s="21"/>
      <c r="K82" s="21"/>
      <c r="L82" s="21"/>
      <c r="M82" s="70">
        <v>-3</v>
      </c>
      <c r="N82" s="21"/>
      <c r="O82" s="45">
        <f>O35/0.83626</f>
        <v>355.53750001541215</v>
      </c>
      <c r="P82" s="21"/>
      <c r="Q82" s="45">
        <f>Q35/0.83626</f>
        <v>435.98610296420338</v>
      </c>
      <c r="R82" s="21"/>
      <c r="S82" s="45">
        <f>S35/0.83626</f>
        <v>1075.9138096878385</v>
      </c>
      <c r="T82" s="21"/>
      <c r="U82" s="21"/>
      <c r="V82" s="45">
        <f>V35/0.83626</f>
        <v>400.36748860470976</v>
      </c>
      <c r="W82" s="19"/>
      <c r="X82" s="9"/>
    </row>
    <row r="83" spans="1:26" s="46" customFormat="1" ht="11.25" customHeight="1" x14ac:dyDescent="0.2">
      <c r="A83" s="22">
        <v>2005</v>
      </c>
      <c r="B83" s="19"/>
      <c r="C83" s="45">
        <f>C36/0.86234</f>
        <v>2004.8752087136756</v>
      </c>
      <c r="D83" s="21"/>
      <c r="E83" s="45">
        <f>E36/0.86234</f>
        <v>5178.6397696566119</v>
      </c>
      <c r="F83" s="21"/>
      <c r="G83" s="70">
        <v>-3</v>
      </c>
      <c r="H83" s="21"/>
      <c r="I83" s="21"/>
      <c r="J83" s="21"/>
      <c r="K83" s="21"/>
      <c r="L83" s="21"/>
      <c r="M83" s="70">
        <v>-3</v>
      </c>
      <c r="N83" s="21"/>
      <c r="O83" s="45">
        <f>O36/0.86234</f>
        <v>363.54259839871281</v>
      </c>
      <c r="P83" s="21"/>
      <c r="Q83" s="45">
        <f>Q36/0.86234</f>
        <v>417.3652619365356</v>
      </c>
      <c r="R83" s="21"/>
      <c r="S83" s="45">
        <f>S36/0.86234</f>
        <v>1112.5590522803293</v>
      </c>
      <c r="T83" s="21"/>
      <c r="U83" s="21"/>
      <c r="V83" s="45">
        <f>V36/0.86234</f>
        <v>414.28295974810959</v>
      </c>
      <c r="W83" s="19"/>
      <c r="X83" s="19"/>
    </row>
    <row r="84" spans="1:26" s="46" customFormat="1" ht="11.25" customHeight="1" x14ac:dyDescent="0.2">
      <c r="A84" s="22">
        <v>2006</v>
      </c>
      <c r="B84" s="19"/>
      <c r="C84" s="45">
        <f>C37/0.88971</f>
        <v>2032.2830721408118</v>
      </c>
      <c r="D84" s="21"/>
      <c r="E84" s="45">
        <f>E37/0.88971</f>
        <v>4479.6025291276464</v>
      </c>
      <c r="F84" s="21"/>
      <c r="G84" s="70">
        <v>-3</v>
      </c>
      <c r="H84" s="21"/>
      <c r="I84" s="21"/>
      <c r="J84" s="21"/>
      <c r="K84" s="21"/>
      <c r="L84" s="21"/>
      <c r="M84" s="70">
        <v>-3</v>
      </c>
      <c r="N84" s="21"/>
      <c r="O84" s="45">
        <f>O37/0.88971</f>
        <v>348.53621635016447</v>
      </c>
      <c r="P84" s="21"/>
      <c r="Q84" s="45">
        <f>Q37/0.88971</f>
        <v>425.46444232126902</v>
      </c>
      <c r="R84" s="21"/>
      <c r="S84" s="45">
        <f>S37/0.88971</f>
        <v>1171.6437521229973</v>
      </c>
      <c r="T84" s="21"/>
      <c r="U84" s="21"/>
      <c r="V84" s="45">
        <f>V37/0.88971</f>
        <v>416.28438026509207</v>
      </c>
      <c r="W84" s="19"/>
      <c r="X84" s="19"/>
    </row>
    <row r="85" spans="1:26" s="46" customFormat="1" ht="11.25" customHeight="1" x14ac:dyDescent="0.2">
      <c r="A85" s="22">
        <v>2007</v>
      </c>
      <c r="B85" s="19"/>
      <c r="C85" s="45">
        <f>C38/0.92063</f>
        <v>2119.6491898708059</v>
      </c>
      <c r="D85" s="21"/>
      <c r="E85" s="45">
        <f>E38/0.92063</f>
        <v>5406.8007239991148</v>
      </c>
      <c r="F85" s="21"/>
      <c r="G85" s="70">
        <v>-3</v>
      </c>
      <c r="H85" s="21"/>
      <c r="I85" s="21"/>
      <c r="J85" s="21"/>
      <c r="K85" s="21"/>
      <c r="L85" s="21"/>
      <c r="M85" s="70">
        <v>-3</v>
      </c>
      <c r="N85" s="21"/>
      <c r="O85" s="45">
        <f>O38/0.92063</f>
        <v>335.1791647283577</v>
      </c>
      <c r="P85" s="21"/>
      <c r="Q85" s="45">
        <f>Q38/0.92063</f>
        <v>440.37416338551589</v>
      </c>
      <c r="R85" s="21"/>
      <c r="S85" s="45">
        <f>S38/0.92063</f>
        <v>1193.2016780789634</v>
      </c>
      <c r="T85" s="21"/>
      <c r="U85" s="21"/>
      <c r="V85" s="45">
        <f>V38/0.92063</f>
        <v>443.95870308016652</v>
      </c>
      <c r="W85" s="19"/>
      <c r="X85" s="19"/>
    </row>
    <row r="86" spans="1:26" s="46" customFormat="1" ht="11.25" customHeight="1" x14ac:dyDescent="0.2">
      <c r="A86" s="22">
        <v>2008</v>
      </c>
      <c r="B86" s="19"/>
      <c r="C86" s="45">
        <f>C39/0.94908</f>
        <v>2144.632277854229</v>
      </c>
      <c r="D86" s="21"/>
      <c r="E86" s="45">
        <f>E39/0.94908</f>
        <v>5207.8112954391418</v>
      </c>
      <c r="F86" s="21"/>
      <c r="G86" s="72">
        <v>-3</v>
      </c>
      <c r="H86" s="21"/>
      <c r="I86" s="21"/>
      <c r="J86" s="21"/>
      <c r="K86" s="21"/>
      <c r="L86" s="21"/>
      <c r="M86" s="72">
        <v>-3</v>
      </c>
      <c r="N86" s="21"/>
      <c r="O86" s="45">
        <f>O39/0.94908</f>
        <v>353.13290205633734</v>
      </c>
      <c r="P86" s="21"/>
      <c r="Q86" s="45">
        <f>Q39/0.94908</f>
        <v>457.48875457085285</v>
      </c>
      <c r="R86" s="21"/>
      <c r="S86" s="45">
        <f>S39/0.94908</f>
        <v>1255.2399974121204</v>
      </c>
      <c r="T86" s="21"/>
      <c r="U86" s="21"/>
      <c r="V86" s="45">
        <f>V39/0.94908</f>
        <v>456.60111818611756</v>
      </c>
      <c r="W86" s="19"/>
      <c r="X86" s="19"/>
    </row>
    <row r="87" spans="1:26" s="46" customFormat="1" ht="11.25" customHeight="1" x14ac:dyDescent="0.2">
      <c r="A87" s="22">
        <v>2009</v>
      </c>
      <c r="B87" s="19"/>
      <c r="C87" s="45">
        <f>C40/0.97296</f>
        <v>2204.5146270558853</v>
      </c>
      <c r="D87" s="21"/>
      <c r="E87" s="45">
        <f>E40/0.97296</f>
        <v>5211.2433930402613</v>
      </c>
      <c r="F87" s="21"/>
      <c r="G87" s="72">
        <v>-3</v>
      </c>
      <c r="H87" s="21"/>
      <c r="I87" s="21"/>
      <c r="J87" s="21"/>
      <c r="K87" s="21"/>
      <c r="L87" s="21"/>
      <c r="M87" s="72">
        <v>-3</v>
      </c>
      <c r="N87" s="21"/>
      <c r="O87" s="45">
        <f>O40/0.97296</f>
        <v>345.86692711924189</v>
      </c>
      <c r="P87" s="21"/>
      <c r="Q87" s="45">
        <f>Q40/0.97296</f>
        <v>446.20095696371567</v>
      </c>
      <c r="R87" s="21"/>
      <c r="S87" s="45">
        <f>S40/0.97296</f>
        <v>1401.0475241453462</v>
      </c>
      <c r="T87" s="21"/>
      <c r="U87" s="21"/>
      <c r="V87" s="45">
        <f>V40/0.97296</f>
        <v>442.08366209997422</v>
      </c>
      <c r="W87" s="19"/>
      <c r="X87" s="19"/>
    </row>
    <row r="88" spans="1:26" s="46" customFormat="1" ht="11.25" customHeight="1" x14ac:dyDescent="0.2">
      <c r="A88" s="26">
        <v>2010</v>
      </c>
      <c r="B88" s="27"/>
      <c r="C88" s="47">
        <f>C41/1</f>
        <v>2128.9312514737817</v>
      </c>
      <c r="D88" s="41"/>
      <c r="E88" s="47">
        <f>E41/1</f>
        <v>5356.6033508233086</v>
      </c>
      <c r="F88" s="41"/>
      <c r="G88" s="73">
        <v>-3</v>
      </c>
      <c r="H88" s="41"/>
      <c r="I88" s="41"/>
      <c r="J88" s="41"/>
      <c r="K88" s="41"/>
      <c r="L88" s="41"/>
      <c r="M88" s="73">
        <v>-3</v>
      </c>
      <c r="N88" s="41"/>
      <c r="O88" s="47">
        <f>O41/1</f>
        <v>339.16886980799018</v>
      </c>
      <c r="P88" s="41"/>
      <c r="Q88" s="47">
        <f>Q41/1</f>
        <v>446.27223562503491</v>
      </c>
      <c r="R88" s="41"/>
      <c r="S88" s="47">
        <f>S41/1</f>
        <v>1382.7005992825716</v>
      </c>
      <c r="T88" s="41"/>
      <c r="U88" s="41"/>
      <c r="V88" s="47">
        <f>V41/1</f>
        <v>418.44227733287619</v>
      </c>
      <c r="W88" s="27"/>
      <c r="X88" s="19"/>
    </row>
    <row r="89" spans="1:26" s="64" customFormat="1" ht="9.6" customHeight="1" x14ac:dyDescent="0.2">
      <c r="A89" s="60" t="s">
        <v>52</v>
      </c>
      <c r="B89" s="61"/>
      <c r="C89" s="62"/>
      <c r="D89" s="62"/>
      <c r="E89" s="62"/>
      <c r="F89" s="62"/>
      <c r="G89" s="62"/>
      <c r="H89" s="62"/>
      <c r="I89" s="62"/>
      <c r="J89" s="62"/>
      <c r="K89" s="62"/>
      <c r="L89" s="62"/>
      <c r="M89" s="62"/>
      <c r="N89" s="62"/>
      <c r="O89" s="62"/>
      <c r="P89" s="62"/>
      <c r="Q89" s="62"/>
      <c r="R89" s="62"/>
      <c r="S89" s="62"/>
      <c r="T89" s="62"/>
      <c r="U89" s="62"/>
      <c r="V89" s="62"/>
      <c r="W89" s="62"/>
      <c r="X89" s="63"/>
    </row>
    <row r="90" spans="1:26" s="5" customFormat="1" ht="9" customHeight="1" x14ac:dyDescent="0.15">
      <c r="A90" s="58" t="s">
        <v>50</v>
      </c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2"/>
    </row>
    <row r="91" spans="1:26" s="2" customFormat="1" ht="9.6" customHeight="1" x14ac:dyDescent="0.15">
      <c r="A91" s="10" t="s">
        <v>58</v>
      </c>
      <c r="B91" s="11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</row>
    <row r="92" spans="1:26" s="2" customFormat="1" ht="9.6" customHeight="1" x14ac:dyDescent="0.15">
      <c r="A92" s="14" t="s">
        <v>53</v>
      </c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</row>
    <row r="93" spans="1:26" s="2" customFormat="1" ht="9.6" customHeight="1" x14ac:dyDescent="0.15">
      <c r="A93" s="15" t="s">
        <v>54</v>
      </c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</row>
    <row r="94" spans="1:26" s="2" customFormat="1" ht="9.6" customHeight="1" x14ac:dyDescent="0.15">
      <c r="A94" s="15" t="s">
        <v>55</v>
      </c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</row>
    <row r="95" spans="1:26" s="5" customFormat="1" ht="9.6" customHeight="1" x14ac:dyDescent="0.15">
      <c r="A95" s="13" t="s">
        <v>59</v>
      </c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</row>
    <row r="96" spans="1:26" s="5" customFormat="1" ht="9" customHeight="1" x14ac:dyDescent="0.15">
      <c r="A96" s="57" t="s">
        <v>51</v>
      </c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</row>
    <row r="97" spans="1:25" s="5" customFormat="1" ht="3.95" customHeight="1" x14ac:dyDescent="0.15">
      <c r="A97" s="14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</row>
    <row r="98" spans="1:25" s="5" customFormat="1" ht="9" customHeight="1" x14ac:dyDescent="0.15">
      <c r="A98" s="16" t="s">
        <v>60</v>
      </c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</row>
    <row r="99" spans="1:25" s="5" customFormat="1" ht="9" customHeight="1" x14ac:dyDescent="0.15">
      <c r="A99" s="15" t="s">
        <v>64</v>
      </c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</row>
    <row r="100" spans="1:25" s="5" customFormat="1" ht="9" customHeight="1" x14ac:dyDescent="0.15">
      <c r="A100" s="15" t="s">
        <v>69</v>
      </c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</row>
    <row r="101" spans="1:25" ht="9" customHeight="1" x14ac:dyDescent="0.2">
      <c r="A101" s="57" t="s">
        <v>65</v>
      </c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</row>
    <row r="102" spans="1:25" ht="9.6" customHeight="1" x14ac:dyDescent="0.2">
      <c r="A102" s="57" t="s">
        <v>66</v>
      </c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</row>
    <row r="103" spans="1:25" ht="9.6" customHeight="1" x14ac:dyDescent="0.2">
      <c r="A103" s="57" t="s">
        <v>61</v>
      </c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</row>
    <row r="104" spans="1:25" ht="9.6" customHeight="1" x14ac:dyDescent="0.2">
      <c r="A104" s="57" t="s">
        <v>62</v>
      </c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</row>
    <row r="105" spans="1:25" ht="9" customHeight="1" x14ac:dyDescent="0.2">
      <c r="A105" s="57" t="s">
        <v>63</v>
      </c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</row>
    <row r="106" spans="1:25" ht="9" customHeight="1" x14ac:dyDescent="0.2">
      <c r="A106" s="57" t="s">
        <v>67</v>
      </c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</row>
    <row r="107" spans="1:25" ht="3.95" customHeight="1" x14ac:dyDescent="0.2">
      <c r="A107" s="57"/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</row>
    <row r="108" spans="1:25" s="59" customFormat="1" ht="9.6" customHeight="1" x14ac:dyDescent="0.2">
      <c r="A108" s="17" t="s">
        <v>72</v>
      </c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</row>
    <row r="109" spans="1:25" s="59" customFormat="1" ht="9.6" customHeight="1" x14ac:dyDescent="0.2">
      <c r="A109" s="15" t="s">
        <v>56</v>
      </c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</row>
    <row r="110" spans="1:25" ht="9.6" customHeight="1" x14ac:dyDescent="0.2">
      <c r="A110" s="15" t="s">
        <v>68</v>
      </c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</row>
    <row r="111" spans="1:25" x14ac:dyDescent="0.2">
      <c r="B111" s="12"/>
    </row>
  </sheetData>
  <mergeCells count="3">
    <mergeCell ref="C52:W52"/>
    <mergeCell ref="A1:W1"/>
    <mergeCell ref="A47:W47"/>
  </mergeCells>
  <phoneticPr fontId="2" type="noConversion"/>
  <printOptions gridLinesSet="0"/>
  <pageMargins left="0.8" right="0.75" top="0.75" bottom="0.5" header="0.5" footer="0.5"/>
  <pageSetup firstPageNumber="230" orientation="portrait" horizontalDpi="300" r:id="rId1"/>
  <headerFooter alignWithMargins="0">
    <oddFooter>&amp;L&amp;"Times New Roman,Bold"&amp;8MEDICARE &amp;&amp; MEDICAID RESEARCH REVIEW/&amp;"Times New Roman,Regular"&amp;6 2012 Statistical Supplement</oddFooter>
  </headerFooter>
  <rowBreaks count="1" manualBreakCount="1">
    <brk id="46" max="2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TABLE13.13</vt:lpstr>
      <vt:lpstr>TABLE13.13!Print_Area</vt:lpstr>
      <vt:lpstr>Print_Area</vt:lpstr>
      <vt:lpstr>TABLE13.13!Print_Area_MI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Diana Murphy</cp:lastModifiedBy>
  <cp:lastPrinted>2013-04-15T12:58:38Z</cp:lastPrinted>
  <dcterms:created xsi:type="dcterms:W3CDTF">1999-10-08T13:42:34Z</dcterms:created>
  <dcterms:modified xsi:type="dcterms:W3CDTF">2013-04-24T15:05:26Z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699170932</vt:i4>
  </property>
  <property fmtid="{D5CDD505-2E9C-101B-9397-08002B2CF9AE}" pid="3" name="_NewReviewCycle">
    <vt:lpwstr/>
  </property>
  <property fmtid="{D5CDD505-2E9C-101B-9397-08002B2CF9AE}" pid="4" name="_EmailSubject">
    <vt:lpwstr>Medicaid tables 13.11 - 13.20 (2012 Statistical Sipplement)) </vt:lpwstr>
  </property>
  <property fmtid="{D5CDD505-2E9C-101B-9397-08002B2CF9AE}" pid="5" name="_AuthorEmail">
    <vt:lpwstr>Diana.Murphy@cms.hhs.gov</vt:lpwstr>
  </property>
  <property fmtid="{D5CDD505-2E9C-101B-9397-08002B2CF9AE}" pid="6" name="_AuthorEmailDisplayName">
    <vt:lpwstr>Murphy, Diana L. (CMS/OEM)</vt:lpwstr>
  </property>
  <property fmtid="{D5CDD505-2E9C-101B-9397-08002B2CF9AE}" pid="7" name="_PreviousAdHocReviewCycleID">
    <vt:i4>699170932</vt:i4>
  </property>
</Properties>
</file>