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16" sheetId="1" r:id="rId1"/>
  </sheets>
  <definedNames>
    <definedName name="_Regression_Int" localSheetId="0" hidden="1">1</definedName>
    <definedName name="_xlnm.Print_Area" localSheetId="0">TABLE13.16!$A$1:$V$110</definedName>
    <definedName name="_xlnm.Print_Area">TABLE13.16!$A$1:$U$100</definedName>
    <definedName name="Print_Area_MI" localSheetId="0">TABLE13.16!$A$1:$V$100</definedName>
  </definedNames>
  <calcPr calcId="145621"/>
</workbook>
</file>

<file path=xl/calcChain.xml><?xml version="1.0" encoding="utf-8"?>
<calcChain xmlns="http://schemas.openxmlformats.org/spreadsheetml/2006/main">
  <c r="E41" i="1" l="1"/>
  <c r="U41" i="1"/>
  <c r="S41" i="1"/>
  <c r="Q41" i="1"/>
  <c r="O41" i="1"/>
  <c r="M41" i="1"/>
  <c r="G41" i="1"/>
  <c r="C41" i="1"/>
  <c r="U74" i="1" l="1"/>
  <c r="S74" i="1"/>
  <c r="Q74" i="1"/>
  <c r="O74" i="1"/>
  <c r="M74" i="1"/>
  <c r="G74" i="1"/>
  <c r="E74" i="1"/>
  <c r="U73" i="1"/>
  <c r="S73" i="1"/>
  <c r="Q73" i="1"/>
  <c r="O73" i="1"/>
  <c r="M73" i="1"/>
  <c r="G73" i="1"/>
  <c r="E73" i="1"/>
  <c r="C73" i="1"/>
  <c r="U72" i="1"/>
  <c r="S72" i="1"/>
  <c r="Q72" i="1"/>
  <c r="O72" i="1"/>
  <c r="M72" i="1"/>
  <c r="G72" i="1"/>
  <c r="E72" i="1"/>
  <c r="C72" i="1"/>
  <c r="U71" i="1"/>
  <c r="S71" i="1"/>
  <c r="Q71" i="1"/>
  <c r="O71" i="1"/>
  <c r="M71" i="1"/>
  <c r="G71" i="1"/>
  <c r="E71" i="1"/>
  <c r="C71" i="1"/>
  <c r="U70" i="1"/>
  <c r="S70" i="1"/>
  <c r="Q70" i="1"/>
  <c r="O70" i="1"/>
  <c r="M70" i="1"/>
  <c r="G70" i="1"/>
  <c r="E70" i="1"/>
  <c r="C70" i="1"/>
  <c r="U69" i="1"/>
  <c r="S69" i="1"/>
  <c r="Q69" i="1"/>
  <c r="O69" i="1"/>
  <c r="M69" i="1"/>
  <c r="G69" i="1"/>
  <c r="E69" i="1"/>
  <c r="C69" i="1"/>
  <c r="U68" i="1"/>
  <c r="S68" i="1"/>
  <c r="Q68" i="1"/>
  <c r="O68" i="1"/>
  <c r="M68" i="1"/>
  <c r="G68" i="1"/>
  <c r="E68" i="1"/>
  <c r="C68" i="1"/>
  <c r="U67" i="1"/>
  <c r="S67" i="1"/>
  <c r="Q67" i="1"/>
  <c r="O67" i="1"/>
  <c r="M67" i="1"/>
  <c r="G67" i="1"/>
  <c r="E67" i="1"/>
  <c r="C67" i="1"/>
  <c r="U66" i="1"/>
  <c r="S66" i="1"/>
  <c r="Q66" i="1"/>
  <c r="O66" i="1"/>
  <c r="M66" i="1"/>
  <c r="G66" i="1"/>
  <c r="E66" i="1"/>
  <c r="C66" i="1"/>
  <c r="U65" i="1"/>
  <c r="S65" i="1"/>
  <c r="Q65" i="1"/>
  <c r="O65" i="1"/>
  <c r="M65" i="1"/>
  <c r="G65" i="1"/>
  <c r="E65" i="1"/>
  <c r="C65" i="1"/>
  <c r="U64" i="1"/>
  <c r="S64" i="1"/>
  <c r="Q64" i="1"/>
  <c r="O64" i="1"/>
  <c r="M64" i="1"/>
  <c r="G64" i="1"/>
  <c r="E64" i="1"/>
  <c r="C64" i="1"/>
  <c r="U63" i="1"/>
  <c r="S63" i="1"/>
  <c r="Q63" i="1"/>
  <c r="O63" i="1"/>
  <c r="M63" i="1"/>
  <c r="G63" i="1"/>
  <c r="E63" i="1"/>
  <c r="C63" i="1"/>
  <c r="U62" i="1"/>
  <c r="S62" i="1"/>
  <c r="Q62" i="1"/>
  <c r="O62" i="1"/>
  <c r="M62" i="1"/>
  <c r="G62" i="1"/>
  <c r="E62" i="1"/>
  <c r="C62" i="1"/>
  <c r="U61" i="1"/>
  <c r="S61" i="1"/>
  <c r="Q61" i="1"/>
  <c r="O61" i="1"/>
  <c r="M61" i="1"/>
  <c r="G61" i="1"/>
  <c r="E61" i="1"/>
  <c r="C61" i="1"/>
  <c r="U60" i="1"/>
  <c r="S60" i="1"/>
  <c r="Q60" i="1"/>
  <c r="O60" i="1"/>
  <c r="M60" i="1"/>
  <c r="G60" i="1"/>
  <c r="E60" i="1"/>
  <c r="C60" i="1"/>
  <c r="U59" i="1"/>
  <c r="S59" i="1"/>
  <c r="Q59" i="1"/>
  <c r="O59" i="1"/>
  <c r="M59" i="1"/>
  <c r="G59" i="1"/>
  <c r="E59" i="1"/>
  <c r="C59" i="1"/>
  <c r="U58" i="1"/>
  <c r="S58" i="1"/>
  <c r="Q58" i="1"/>
  <c r="O58" i="1"/>
  <c r="M58" i="1"/>
  <c r="G58" i="1"/>
  <c r="E58" i="1"/>
  <c r="C58" i="1"/>
  <c r="U57" i="1"/>
  <c r="S57" i="1"/>
  <c r="Q57" i="1"/>
  <c r="O57" i="1"/>
  <c r="M57" i="1"/>
  <c r="G57" i="1"/>
  <c r="E57" i="1"/>
  <c r="C57" i="1"/>
  <c r="U56" i="1"/>
  <c r="S56" i="1"/>
  <c r="Q56" i="1"/>
  <c r="O56" i="1"/>
  <c r="M56" i="1"/>
  <c r="G56" i="1"/>
  <c r="E56" i="1"/>
  <c r="C56" i="1"/>
  <c r="U55" i="1"/>
  <c r="S55" i="1"/>
  <c r="Q55" i="1"/>
  <c r="O55" i="1"/>
  <c r="M55" i="1"/>
  <c r="G55" i="1"/>
  <c r="E55" i="1"/>
  <c r="C55" i="1"/>
  <c r="U54" i="1"/>
  <c r="S54" i="1"/>
  <c r="Q54" i="1"/>
  <c r="O54" i="1"/>
  <c r="M54" i="1"/>
  <c r="G54" i="1"/>
  <c r="E54" i="1"/>
  <c r="C54" i="1"/>
  <c r="U53" i="1"/>
  <c r="S53" i="1"/>
  <c r="Q53" i="1"/>
  <c r="O53" i="1"/>
  <c r="M53" i="1"/>
  <c r="G53" i="1"/>
  <c r="E53" i="1"/>
  <c r="C53" i="1"/>
  <c r="U52" i="1"/>
  <c r="S52" i="1"/>
  <c r="Q52" i="1"/>
  <c r="O52" i="1"/>
  <c r="M52" i="1"/>
  <c r="G52" i="1"/>
  <c r="E52" i="1"/>
  <c r="C52" i="1" l="1"/>
  <c r="U87" i="1"/>
  <c r="S87" i="1"/>
  <c r="Q87" i="1"/>
  <c r="O87" i="1"/>
  <c r="M87" i="1"/>
  <c r="G87" i="1"/>
  <c r="E87" i="1"/>
  <c r="C87" i="1"/>
  <c r="U40" i="1"/>
  <c r="U86" i="1" s="1"/>
  <c r="S40" i="1"/>
  <c r="S86" i="1" s="1"/>
  <c r="Q40" i="1"/>
  <c r="Q86" i="1" s="1"/>
  <c r="O40" i="1"/>
  <c r="O86" i="1" s="1"/>
  <c r="M40" i="1"/>
  <c r="M86" i="1" s="1"/>
  <c r="G40" i="1"/>
  <c r="G86" i="1" s="1"/>
  <c r="E40" i="1"/>
  <c r="E86" i="1" s="1"/>
  <c r="C40" i="1"/>
  <c r="C86" i="1" s="1"/>
  <c r="G39" i="1"/>
  <c r="G85" i="1" s="1"/>
  <c r="U39" i="1"/>
  <c r="U85" i="1" s="1"/>
  <c r="S39" i="1"/>
  <c r="S85" i="1" s="1"/>
  <c r="Q39" i="1"/>
  <c r="Q85" i="1" s="1"/>
  <c r="O39" i="1"/>
  <c r="O85" i="1" s="1"/>
  <c r="M39" i="1"/>
  <c r="M85" i="1" s="1"/>
  <c r="E39" i="1"/>
  <c r="E85" i="1" s="1"/>
  <c r="C39" i="1"/>
  <c r="C85" i="1" s="1"/>
  <c r="U38" i="1"/>
  <c r="U84" i="1" s="1"/>
  <c r="S38" i="1"/>
  <c r="S84" i="1" s="1"/>
  <c r="Q38" i="1"/>
  <c r="Q84" i="1" s="1"/>
  <c r="O38" i="1"/>
  <c r="O84" i="1" s="1"/>
  <c r="M38" i="1"/>
  <c r="M84" i="1" s="1"/>
  <c r="G38" i="1"/>
  <c r="G84" i="1" s="1"/>
  <c r="E38" i="1"/>
  <c r="E84" i="1" s="1"/>
  <c r="C38" i="1"/>
  <c r="C84" i="1" s="1"/>
  <c r="U37" i="1"/>
  <c r="U83" i="1" s="1"/>
  <c r="S37" i="1"/>
  <c r="S83" i="1" s="1"/>
  <c r="Q37" i="1"/>
  <c r="Q83" i="1" s="1"/>
  <c r="O37" i="1"/>
  <c r="O83" i="1" s="1"/>
  <c r="M37" i="1"/>
  <c r="M83" i="1" s="1"/>
  <c r="G37" i="1"/>
  <c r="G83" i="1" s="1"/>
  <c r="E37" i="1"/>
  <c r="E83" i="1" s="1"/>
  <c r="C37" i="1"/>
  <c r="C83" i="1" s="1"/>
  <c r="U36" i="1"/>
  <c r="U82" i="1" s="1"/>
  <c r="S36" i="1"/>
  <c r="S82" i="1" s="1"/>
  <c r="Q36" i="1"/>
  <c r="Q82" i="1" s="1"/>
  <c r="O36" i="1"/>
  <c r="O82" i="1" s="1"/>
  <c r="M36" i="1"/>
  <c r="M82" i="1" s="1"/>
  <c r="G36" i="1"/>
  <c r="G82" i="1" s="1"/>
  <c r="E36" i="1"/>
  <c r="E82" i="1" s="1"/>
  <c r="C36" i="1"/>
  <c r="C82" i="1" s="1"/>
  <c r="U35" i="1"/>
  <c r="U81" i="1" s="1"/>
  <c r="S35" i="1"/>
  <c r="S81" i="1" s="1"/>
  <c r="Q35" i="1"/>
  <c r="Q81" i="1" s="1"/>
  <c r="O35" i="1"/>
  <c r="O81" i="1" s="1"/>
  <c r="M35" i="1"/>
  <c r="M81" i="1" s="1"/>
  <c r="G35" i="1"/>
  <c r="G81" i="1" s="1"/>
  <c r="E35" i="1"/>
  <c r="E81" i="1" s="1"/>
  <c r="C35" i="1"/>
  <c r="C81" i="1" s="1"/>
  <c r="U34" i="1"/>
  <c r="U80" i="1" s="1"/>
  <c r="S34" i="1"/>
  <c r="S80" i="1" s="1"/>
  <c r="Q34" i="1"/>
  <c r="Q80" i="1" s="1"/>
  <c r="O34" i="1"/>
  <c r="O80" i="1" s="1"/>
  <c r="M34" i="1"/>
  <c r="M80" i="1" s="1"/>
  <c r="G34" i="1"/>
  <c r="G80" i="1" s="1"/>
  <c r="E34" i="1"/>
  <c r="E80" i="1" s="1"/>
  <c r="C34" i="1"/>
  <c r="C80" i="1" s="1"/>
  <c r="U33" i="1"/>
  <c r="U79" i="1" s="1"/>
  <c r="S33" i="1"/>
  <c r="S79" i="1" s="1"/>
  <c r="Q33" i="1"/>
  <c r="Q79" i="1" s="1"/>
  <c r="O33" i="1"/>
  <c r="O79" i="1" s="1"/>
  <c r="M33" i="1"/>
  <c r="M79" i="1" s="1"/>
  <c r="G33" i="1"/>
  <c r="G79" i="1" s="1"/>
  <c r="E33" i="1"/>
  <c r="E79" i="1" s="1"/>
  <c r="C33" i="1"/>
  <c r="C79" i="1" s="1"/>
  <c r="U32" i="1"/>
  <c r="U78" i="1" s="1"/>
  <c r="S32" i="1"/>
  <c r="S78" i="1" s="1"/>
  <c r="Q32" i="1"/>
  <c r="Q78" i="1" s="1"/>
  <c r="O32" i="1"/>
  <c r="O78" i="1" s="1"/>
  <c r="M32" i="1"/>
  <c r="M78" i="1" s="1"/>
  <c r="G32" i="1"/>
  <c r="G78" i="1" s="1"/>
  <c r="E32" i="1"/>
  <c r="E78" i="1" s="1"/>
  <c r="C32" i="1"/>
  <c r="C78" i="1" s="1"/>
  <c r="U31" i="1"/>
  <c r="U77" i="1" s="1"/>
  <c r="S31" i="1"/>
  <c r="S77" i="1" s="1"/>
  <c r="Q31" i="1"/>
  <c r="Q77" i="1" s="1"/>
  <c r="O31" i="1"/>
  <c r="O77" i="1" s="1"/>
  <c r="M31" i="1"/>
  <c r="M77" i="1" s="1"/>
  <c r="G31" i="1"/>
  <c r="G77" i="1" s="1"/>
  <c r="E31" i="1"/>
  <c r="E77" i="1" s="1"/>
  <c r="C31" i="1"/>
  <c r="C77" i="1" s="1"/>
  <c r="U30" i="1"/>
  <c r="U76" i="1" s="1"/>
  <c r="S30" i="1"/>
  <c r="S76" i="1" s="1"/>
  <c r="Q30" i="1"/>
  <c r="Q76" i="1" s="1"/>
  <c r="O30" i="1"/>
  <c r="O76" i="1" s="1"/>
  <c r="M30" i="1"/>
  <c r="M76" i="1" s="1"/>
  <c r="G30" i="1"/>
  <c r="G76" i="1" s="1"/>
  <c r="E30" i="1"/>
  <c r="E76" i="1" s="1"/>
  <c r="C30" i="1"/>
  <c r="C76" i="1" s="1"/>
  <c r="U29" i="1"/>
  <c r="U75" i="1" s="1"/>
  <c r="S29" i="1"/>
  <c r="S75" i="1" s="1"/>
  <c r="Q29" i="1"/>
  <c r="Q75" i="1" s="1"/>
  <c r="O29" i="1"/>
  <c r="O75" i="1" s="1"/>
  <c r="M29" i="1"/>
  <c r="M75" i="1" s="1"/>
  <c r="G29" i="1"/>
  <c r="G75" i="1" s="1"/>
  <c r="E29" i="1"/>
  <c r="E75" i="1" s="1"/>
  <c r="C29" i="1"/>
  <c r="C75" i="1" s="1"/>
  <c r="C28" i="1"/>
  <c r="C74" i="1" s="1"/>
  <c r="L70" i="1"/>
  <c r="K70" i="1"/>
  <c r="J70" i="1"/>
  <c r="L52" i="1"/>
  <c r="L71" i="1"/>
  <c r="K52" i="1"/>
  <c r="K71" i="1"/>
  <c r="J52" i="1"/>
  <c r="J71" i="1"/>
  <c r="I52" i="1"/>
  <c r="I71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60" i="1"/>
  <c r="K60" i="1"/>
  <c r="J60" i="1"/>
  <c r="I60" i="1"/>
  <c r="L59" i="1"/>
  <c r="K59" i="1"/>
  <c r="J59" i="1"/>
  <c r="I59" i="1"/>
  <c r="L58" i="1"/>
  <c r="K58" i="1"/>
  <c r="J58" i="1"/>
  <c r="I58" i="1"/>
  <c r="L57" i="1"/>
  <c r="K57" i="1"/>
  <c r="J57" i="1"/>
  <c r="I57" i="1"/>
  <c r="L56" i="1"/>
  <c r="K56" i="1"/>
  <c r="J56" i="1"/>
  <c r="I56" i="1"/>
  <c r="L55" i="1"/>
  <c r="K55" i="1"/>
  <c r="J55" i="1"/>
  <c r="I55" i="1"/>
  <c r="L54" i="1"/>
  <c r="K54" i="1"/>
  <c r="J54" i="1"/>
  <c r="I54" i="1"/>
  <c r="L53" i="1"/>
  <c r="K53" i="1"/>
  <c r="J53" i="1"/>
  <c r="I53" i="1"/>
</calcChain>
</file>

<file path=xl/sharedStrings.xml><?xml version="1.0" encoding="utf-8"?>
<sst xmlns="http://schemas.openxmlformats.org/spreadsheetml/2006/main" count="104" uniqueCount="68">
  <si>
    <t>Inpatient</t>
  </si>
  <si>
    <t>nursing</t>
  </si>
  <si>
    <t>Outpatient</t>
  </si>
  <si>
    <t>Year</t>
  </si>
  <si>
    <t>Hospital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</si>
  <si>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</si>
  <si>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</si>
  <si>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</si>
  <si>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</si>
  <si>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</si>
  <si>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</si>
  <si>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</si>
  <si>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</si>
  <si>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</si>
  <si>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</si>
  <si>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</si>
  <si>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</si>
  <si>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</si>
  <si>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</si>
  <si>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</si>
  <si>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</si>
  <si>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</si>
  <si>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</si>
  <si>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</si>
  <si>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</si>
  <si>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</si>
  <si>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</si>
  <si>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See footnotes at end of table.</t>
  </si>
  <si>
    <t/>
  </si>
  <si>
    <t>1994</t>
  </si>
  <si>
    <t>Table 13.16</t>
  </si>
  <si>
    <t xml:space="preserve">Medicaid Payments per Person Served (Beneficiary), Disabled, by Type of Service: </t>
  </si>
  <si>
    <t>Medicaid Payments per Person Served (Beneficiary), Disabled, by Type of Service: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</si>
  <si>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</si>
  <si>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</si>
  <si>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some not shown separately.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</si>
  <si>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</si>
  <si>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</si>
  <si>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</si>
  <si>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</si>
  <si>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</si>
  <si>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</si>
  <si>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</si>
  <si>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</si>
  <si>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Payments, and Services (HCFA 2082), Medicaid Statistical Information System (MSIS), and the personal health care consumption indices from the U.S. </t>
  </si>
  <si>
    <t xml:space="preserve">   Nursing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</si>
  <si>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</si>
  <si>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ICF/MR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</si>
  <si>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</si>
  <si>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 Home</t>
  </si>
  <si>
    <r>
      <t xml:space="preserve"> 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</si>
  <si>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</si>
  <si>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NOTES: Beginning fiscal year 1998, capitated premiums for Medicaid eligibles enrolled in managed care plans were included in this series as a component </t>
  </si>
  <si>
    <t>Table 13.16—Continued</t>
  </si>
  <si>
    <t xml:space="preserve">   Prescribed</t>
  </si>
  <si>
    <t xml:space="preserve">    Drugs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</si>
  <si>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</si>
  <si>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</si>
  <si>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</si>
  <si>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</si>
  <si>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</si>
  <si>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</si>
  <si>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1975-2010</t>
  </si>
  <si>
    <t xml:space="preserve"> Fiscal Years 1975-2010</t>
  </si>
  <si>
    <t>(Constant 2010 Dollars)</t>
  </si>
  <si>
    <t xml:space="preserve">services, U.S. Department of Commerce, Bureau of Economic Analysis (BEA), expressed in fiscal year 2010 dollars. With the release of the comprehensive </t>
  </si>
  <si>
    <t>Department of Commerce; data development by the Office of Information Products and Data Analytics.</t>
  </si>
  <si>
    <t xml:space="preserve">SOURCES: Centers for Medicare &amp; Medicaid Services, Center for Medicaid and CHIP Services: Statistical Report on Medical Care: Eligibles, Recipients,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</si>
</sst>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"/>
  </numFmts>
  <fonts count="11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2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Font="1"/>
    <xf numFmtId="164" fontId="6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Font="1"/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Font="1" applyBorder="1"/>
    <xf numFmtId="164" fontId="5" fillId="0" borderId="2" xfId="0" applyFont="1" applyBorder="1"/>
    <xf numFmtId="5" fontId="5" fillId="0" borderId="2" xfId="0" applyNumberFormat="1" applyFont="1" applyBorder="1" applyProtection="1"/>
    <xf numFmtId="5" fontId="5" fillId="0" borderId="0" xfId="0" applyNumberFormat="1" applyFont="1" applyBorder="1" applyProtection="1"/>
    <xf numFmtId="37" fontId="5" fillId="0" borderId="0" xfId="0" applyNumberFormat="1" applyFont="1" applyProtection="1"/>
    <xf numFmtId="164" fontId="2" fillId="0" borderId="0" xfId="0" applyFont="1" applyAlignment="1">
      <alignment vertical="center"/>
    </xf>
    <xf numFmtId="164" fontId="5" fillId="0" borderId="0" xfId="0" applyNumberFormat="1" applyFont="1" applyBorder="1" applyAlignment="1" applyProtection="1"/>
    <xf numFmtId="164" fontId="5" fillId="0" borderId="0" xfId="0" applyFont="1" applyBorder="1" applyAlignment="1"/>
    <xf numFmtId="164" fontId="5" fillId="0" borderId="0" xfId="0" applyNumberFormat="1" applyFont="1" applyAlignment="1" applyProtection="1"/>
    <xf numFmtId="164" fontId="5" fillId="0" borderId="0" xfId="0" applyFont="1" applyAlignment="1"/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Font="1" applyBorder="1" applyAlignment="1"/>
    <xf numFmtId="5" fontId="5" fillId="0" borderId="0" xfId="0" applyNumberFormat="1" applyFont="1" applyAlignment="1" applyProtection="1"/>
    <xf numFmtId="165" fontId="5" fillId="0" borderId="0" xfId="1" applyNumberFormat="1" applyFont="1" applyAlignment="1" applyProtection="1"/>
    <xf numFmtId="37" fontId="5" fillId="0" borderId="0" xfId="0" applyNumberFormat="1" applyFont="1" applyAlignment="1" applyProtection="1"/>
    <xf numFmtId="164" fontId="5" fillId="0" borderId="0" xfId="0" applyNumberFormat="1" applyFont="1" applyBorder="1" applyAlignment="1" applyProtection="1">
      <alignment horizontal="left"/>
    </xf>
    <xf numFmtId="164" fontId="2" fillId="0" borderId="0" xfId="0" applyFont="1" applyBorder="1"/>
    <xf numFmtId="37" fontId="5" fillId="0" borderId="1" xfId="0" applyNumberFormat="1" applyFont="1" applyBorder="1" applyAlignment="1" applyProtection="1"/>
    <xf numFmtId="164" fontId="10" fillId="0" borderId="0" xfId="0" applyFont="1"/>
    <xf numFmtId="1" fontId="5" fillId="0" borderId="0" xfId="0" applyNumberFormat="1" applyFont="1" applyAlignment="1" applyProtection="1">
      <alignment horizontal="left"/>
    </xf>
    <xf numFmtId="0" fontId="5" fillId="0" borderId="2" xfId="0" applyNumberFormat="1" applyFont="1" applyBorder="1" applyAlignment="1" applyProtection="1">
      <alignment horizontal="left"/>
    </xf>
    <xf numFmtId="3" fontId="5" fillId="0" borderId="0" xfId="0" applyNumberFormat="1" applyFont="1" applyProtection="1"/>
    <xf numFmtId="166" fontId="5" fillId="0" borderId="2" xfId="0" applyNumberFormat="1" applyFont="1" applyBorder="1" applyProtection="1"/>
    <xf numFmtId="164" fontId="5" fillId="0" borderId="1" xfId="0" quotePrefix="1" applyNumberFormat="1" applyFont="1" applyBorder="1" applyAlignment="1" applyProtection="1">
      <alignment horizontal="centerContinuous"/>
    </xf>
    <xf numFmtId="164" fontId="5" fillId="0" borderId="0" xfId="0" quotePrefix="1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righ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1" xfId="0" quotePrefix="1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3" fontId="7" fillId="0" borderId="0" xfId="0" applyNumberFormat="1" applyFont="1" applyBorder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top"/>
    </xf>
    <xf numFmtId="164" fontId="5" fillId="0" borderId="0" xfId="0" applyFont="1" applyAlignment="1" applyProtection="1">
      <alignment horizontal="left" vertical="center"/>
    </xf>
    <xf numFmtId="164" fontId="5" fillId="0" borderId="1" xfId="0" applyNumberFormat="1" applyFont="1" applyBorder="1" applyAlignment="1" applyProtection="1">
      <alignment horizontal="left" vertical="center"/>
    </xf>
    <xf numFmtId="164" fontId="5" fillId="0" borderId="1" xfId="0" applyFont="1" applyBorder="1" applyAlignment="1">
      <alignment vertical="center"/>
    </xf>
    <xf numFmtId="165" fontId="5" fillId="0" borderId="1" xfId="1" applyNumberFormat="1" applyFont="1" applyBorder="1" applyAlignment="1" applyProtection="1">
      <alignment vertical="center"/>
    </xf>
    <xf numFmtId="37" fontId="5" fillId="0" borderId="1" xfId="0" applyNumberFormat="1" applyFont="1" applyBorder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164" fontId="5" fillId="0" borderId="0" xfId="0" applyFont="1" applyAlignment="1">
      <alignment vertical="center"/>
    </xf>
    <xf numFmtId="165" fontId="5" fillId="0" borderId="0" xfId="1" applyNumberFormat="1" applyFont="1" applyAlignment="1" applyProtection="1">
      <alignment vertical="center"/>
    </xf>
    <xf numFmtId="37" fontId="5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left" vertical="center"/>
    </xf>
    <xf numFmtId="164" fontId="5" fillId="0" borderId="0" xfId="0" applyFont="1" applyBorder="1" applyAlignment="1">
      <alignment vertical="center"/>
    </xf>
    <xf numFmtId="165" fontId="5" fillId="0" borderId="0" xfId="1" applyNumberFormat="1" applyFont="1" applyBorder="1" applyAlignment="1" applyProtection="1">
      <alignment vertical="center"/>
    </xf>
    <xf numFmtId="37" fontId="5" fillId="0" borderId="0" xfId="0" applyNumberFormat="1" applyFont="1" applyBorder="1" applyAlignment="1" applyProtection="1">
      <alignment vertical="center"/>
    </xf>
    <xf numFmtId="164" fontId="2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164" fontId="5" fillId="0" borderId="3" xfId="0" applyFont="1" applyBorder="1" applyAlignment="1" applyProtection="1">
      <alignment horizontal="center" vertical="center"/>
    </xf>
    <xf numFmtId="164" fontId="4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V110"/>
  <sheetViews>
    <sheetView showGridLines="0" tabSelected="1" zoomScale="110" zoomScaleNormal="110" zoomScaleSheetLayoutView="75" workbookViewId="0">
      <selection sqref="A1:V1"/>
    </sheetView>
  </sheetViews>
  <sheetFormatPr defaultColWidth="9.7109375" defaultRowHeight="12.75" x14ac:dyDescent="0.2"/>
  <cols>
    <col min="1" max="1" width="5.7109375" style="15" customWidth="1"/>
    <col min="2" max="2" width="1.7109375" style="15" customWidth="1"/>
    <col min="3" max="3" width="8.7109375" style="15" customWidth="1"/>
    <col min="4" max="4" width="2.7109375" style="15" customWidth="1"/>
    <col min="5" max="5" width="7.85546875" style="15" customWidth="1"/>
    <col min="6" max="6" width="2.7109375" style="15" customWidth="1"/>
    <col min="7" max="7" width="7.7109375" style="15" customWidth="1"/>
    <col min="8" max="8" width="2.7109375" style="15" customWidth="1"/>
    <col min="9" max="11" width="0" style="15" hidden="1" customWidth="1"/>
    <col min="12" max="12" width="0.140625" style="15" hidden="1" customWidth="1"/>
    <col min="13" max="13" width="7.7109375" style="15" customWidth="1"/>
    <col min="14" max="14" width="3.7109375" style="15" customWidth="1"/>
    <col min="15" max="15" width="6.7109375" style="15" customWidth="1"/>
    <col min="16" max="16" width="3.7109375" style="15" customWidth="1"/>
    <col min="17" max="17" width="6.7109375" style="15" customWidth="1"/>
    <col min="18" max="18" width="2.7109375" style="15" customWidth="1"/>
    <col min="19" max="19" width="7.140625" style="15" customWidth="1"/>
    <col min="20" max="20" width="3.7109375" style="15" customWidth="1"/>
    <col min="21" max="21" width="6.7109375" style="15" customWidth="1"/>
    <col min="22" max="22" width="1.7109375" style="15" customWidth="1"/>
  </cols>
  <sheetData>
    <row r="1" spans="1:22" s="3" customFormat="1" ht="15" customHeight="1" x14ac:dyDescent="0.2">
      <c r="A1" s="71" t="s">
        <v>30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2" s="5" customFormat="1" ht="15" customHeight="1" x14ac:dyDescent="0.2">
      <c r="A2" s="68" t="s">
        <v>31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2" s="4" customFormat="1" ht="15" customHeight="1" x14ac:dyDescent="0.2">
      <c r="A3" s="69" t="s">
        <v>62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</row>
    <row r="4" spans="1:22" s="1" customFormat="1" ht="10.5" customHeight="1" x14ac:dyDescent="0.2">
      <c r="A4" s="26" t="s">
        <v>28</v>
      </c>
      <c r="B4" s="27"/>
      <c r="C4" s="16"/>
      <c r="D4" s="16"/>
      <c r="E4" s="45" t="s">
        <v>0</v>
      </c>
      <c r="F4" s="16"/>
      <c r="G4" s="16"/>
      <c r="H4" s="16"/>
      <c r="I4" s="16"/>
      <c r="J4" s="16"/>
      <c r="K4" s="17" t="s">
        <v>1</v>
      </c>
      <c r="L4" s="16"/>
      <c r="M4" s="44" t="s">
        <v>51</v>
      </c>
      <c r="N4" s="16"/>
      <c r="O4" s="16"/>
      <c r="P4" s="16"/>
      <c r="Q4" s="35" t="s">
        <v>2</v>
      </c>
      <c r="R4" s="16"/>
      <c r="S4" s="17" t="s">
        <v>49</v>
      </c>
      <c r="T4" s="16"/>
      <c r="U4" s="46" t="s">
        <v>54</v>
      </c>
      <c r="V4" s="16"/>
    </row>
    <row r="5" spans="1:22" s="1" customFormat="1" ht="13.9" customHeight="1" x14ac:dyDescent="0.2">
      <c r="A5" s="28" t="s">
        <v>3</v>
      </c>
      <c r="B5" s="29"/>
      <c r="C5" s="48" t="s">
        <v>33</v>
      </c>
      <c r="D5" s="20"/>
      <c r="E5" s="48" t="s">
        <v>4</v>
      </c>
      <c r="F5" s="20"/>
      <c r="G5" s="43" t="s">
        <v>47</v>
      </c>
      <c r="H5" s="20"/>
      <c r="I5" s="30" t="s">
        <v>5</v>
      </c>
      <c r="J5" s="20"/>
      <c r="K5" s="30" t="s">
        <v>6</v>
      </c>
      <c r="L5" s="20"/>
      <c r="M5" s="43" t="s">
        <v>50</v>
      </c>
      <c r="N5" s="20"/>
      <c r="O5" s="30" t="s">
        <v>7</v>
      </c>
      <c r="P5" s="20"/>
      <c r="Q5" s="48" t="s">
        <v>4</v>
      </c>
      <c r="R5" s="20"/>
      <c r="S5" s="19" t="s">
        <v>48</v>
      </c>
      <c r="T5" s="20"/>
      <c r="U5" s="47" t="s">
        <v>55</v>
      </c>
      <c r="V5" s="20"/>
    </row>
    <row r="6" spans="1:22" s="1" customFormat="1" ht="10.35" customHeight="1" x14ac:dyDescent="0.2">
      <c r="A6" s="40" t="s">
        <v>8</v>
      </c>
      <c r="B6" s="21"/>
      <c r="C6" s="22">
        <v>1276</v>
      </c>
      <c r="D6" s="22"/>
      <c r="E6" s="22">
        <v>1977</v>
      </c>
      <c r="F6" s="22"/>
      <c r="G6" s="42">
        <v>5186</v>
      </c>
      <c r="H6" s="22"/>
      <c r="I6" s="22">
        <v>2818</v>
      </c>
      <c r="J6" s="22"/>
      <c r="K6" s="22">
        <v>4295</v>
      </c>
      <c r="L6" s="22"/>
      <c r="M6" s="42">
        <v>3447</v>
      </c>
      <c r="N6" s="22"/>
      <c r="O6" s="22">
        <v>147</v>
      </c>
      <c r="P6" s="22"/>
      <c r="Q6" s="22">
        <v>92</v>
      </c>
      <c r="R6" s="22"/>
      <c r="S6" s="22">
        <v>276</v>
      </c>
      <c r="T6" s="22"/>
      <c r="U6" s="42">
        <v>115</v>
      </c>
      <c r="V6" s="23"/>
    </row>
    <row r="7" spans="1:22" s="1" customFormat="1" ht="10.35" customHeight="1" x14ac:dyDescent="0.2">
      <c r="A7" s="39" t="s">
        <v>9</v>
      </c>
      <c r="B7" s="6"/>
      <c r="C7" s="24">
        <v>1469</v>
      </c>
      <c r="D7" s="24"/>
      <c r="E7" s="24">
        <v>2072</v>
      </c>
      <c r="F7" s="24"/>
      <c r="G7" s="41">
        <v>6940</v>
      </c>
      <c r="H7" s="24"/>
      <c r="I7" s="24">
        <v>3297</v>
      </c>
      <c r="J7" s="24"/>
      <c r="K7" s="24">
        <v>4645</v>
      </c>
      <c r="L7" s="24"/>
      <c r="M7" s="41">
        <v>3882</v>
      </c>
      <c r="N7" s="24"/>
      <c r="O7" s="24">
        <v>158</v>
      </c>
      <c r="P7" s="24"/>
      <c r="Q7" s="24">
        <v>114</v>
      </c>
      <c r="R7" s="24"/>
      <c r="S7" s="24">
        <v>492</v>
      </c>
      <c r="T7" s="24"/>
      <c r="U7" s="41">
        <v>135</v>
      </c>
      <c r="V7" s="24"/>
    </row>
    <row r="8" spans="1:22" s="1" customFormat="1" ht="10.35" customHeight="1" x14ac:dyDescent="0.2">
      <c r="A8" s="39" t="s">
        <v>10</v>
      </c>
      <c r="B8" s="6"/>
      <c r="C8" s="24">
        <v>1743</v>
      </c>
      <c r="D8" s="24"/>
      <c r="E8" s="24">
        <v>2214</v>
      </c>
      <c r="F8" s="24"/>
      <c r="G8" s="41">
        <v>8684</v>
      </c>
      <c r="H8" s="24"/>
      <c r="I8" s="24">
        <v>3835</v>
      </c>
      <c r="J8" s="24"/>
      <c r="K8" s="24">
        <v>5188</v>
      </c>
      <c r="L8" s="24"/>
      <c r="M8" s="41">
        <v>4417</v>
      </c>
      <c r="N8" s="24"/>
      <c r="O8" s="24">
        <v>173</v>
      </c>
      <c r="P8" s="24"/>
      <c r="Q8" s="24">
        <v>170</v>
      </c>
      <c r="R8" s="24"/>
      <c r="S8" s="24">
        <v>600</v>
      </c>
      <c r="T8" s="24"/>
      <c r="U8" s="41">
        <v>146</v>
      </c>
      <c r="V8" s="24"/>
    </row>
    <row r="9" spans="1:22" s="1" customFormat="1" ht="10.35" customHeight="1" x14ac:dyDescent="0.2">
      <c r="A9" s="39" t="s">
        <v>11</v>
      </c>
      <c r="B9" s="6"/>
      <c r="C9" s="24">
        <v>2068</v>
      </c>
      <c r="D9" s="24"/>
      <c r="E9" s="24">
        <v>2392</v>
      </c>
      <c r="F9" s="24"/>
      <c r="G9" s="41">
        <v>11926</v>
      </c>
      <c r="H9" s="24"/>
      <c r="I9" s="24">
        <v>4717</v>
      </c>
      <c r="J9" s="24"/>
      <c r="K9" s="24">
        <v>5813</v>
      </c>
      <c r="L9" s="24"/>
      <c r="M9" s="41">
        <v>5167</v>
      </c>
      <c r="N9" s="24"/>
      <c r="O9" s="24">
        <v>183</v>
      </c>
      <c r="P9" s="24"/>
      <c r="Q9" s="24">
        <v>165</v>
      </c>
      <c r="R9" s="24"/>
      <c r="S9" s="24">
        <v>893</v>
      </c>
      <c r="T9" s="24"/>
      <c r="U9" s="41">
        <v>157</v>
      </c>
      <c r="V9" s="24"/>
    </row>
    <row r="10" spans="1:22" s="1" customFormat="1" ht="10.35" customHeight="1" x14ac:dyDescent="0.2">
      <c r="A10" s="39" t="s">
        <v>12</v>
      </c>
      <c r="B10" s="6"/>
      <c r="C10" s="24">
        <v>2500</v>
      </c>
      <c r="D10" s="24"/>
      <c r="E10" s="24">
        <v>2734</v>
      </c>
      <c r="F10" s="24"/>
      <c r="G10" s="41">
        <v>13719</v>
      </c>
      <c r="H10" s="24"/>
      <c r="I10" s="24">
        <v>5536</v>
      </c>
      <c r="J10" s="24"/>
      <c r="K10" s="24">
        <v>6386</v>
      </c>
      <c r="L10" s="24"/>
      <c r="M10" s="41">
        <v>5893</v>
      </c>
      <c r="N10" s="24"/>
      <c r="O10" s="24">
        <v>200</v>
      </c>
      <c r="P10" s="24"/>
      <c r="Q10" s="24">
        <v>186</v>
      </c>
      <c r="R10" s="24"/>
      <c r="S10" s="24">
        <v>1488</v>
      </c>
      <c r="T10" s="24"/>
      <c r="U10" s="41">
        <v>179</v>
      </c>
      <c r="V10" s="24"/>
    </row>
    <row r="11" spans="1:22" s="1" customFormat="1" ht="10.35" customHeight="1" x14ac:dyDescent="0.2">
      <c r="A11" s="39" t="s">
        <v>13</v>
      </c>
      <c r="B11" s="6"/>
      <c r="C11" s="24">
        <v>2619</v>
      </c>
      <c r="D11" s="24"/>
      <c r="E11" s="24">
        <v>2948</v>
      </c>
      <c r="F11" s="24"/>
      <c r="G11" s="41">
        <v>16653</v>
      </c>
      <c r="H11" s="24"/>
      <c r="I11" s="24">
        <v>5092</v>
      </c>
      <c r="J11" s="24"/>
      <c r="K11" s="24">
        <v>5149</v>
      </c>
      <c r="L11" s="24"/>
      <c r="M11" s="41">
        <v>5105</v>
      </c>
      <c r="N11" s="24"/>
      <c r="O11" s="24">
        <v>234</v>
      </c>
      <c r="P11" s="24"/>
      <c r="Q11" s="24">
        <v>217</v>
      </c>
      <c r="R11" s="24"/>
      <c r="S11" s="24">
        <v>652</v>
      </c>
      <c r="T11" s="24"/>
      <c r="U11" s="41">
        <v>193</v>
      </c>
      <c r="V11" s="24"/>
    </row>
    <row r="12" spans="1:22" s="1" customFormat="1" ht="10.35" customHeight="1" x14ac:dyDescent="0.2">
      <c r="A12" s="39" t="s">
        <v>14</v>
      </c>
      <c r="B12" s="6"/>
      <c r="C12" s="24">
        <v>3071</v>
      </c>
      <c r="D12" s="24"/>
      <c r="E12" s="24">
        <v>3254</v>
      </c>
      <c r="F12" s="24"/>
      <c r="G12" s="41">
        <v>19452</v>
      </c>
      <c r="H12" s="24"/>
      <c r="I12" s="24">
        <v>5871</v>
      </c>
      <c r="J12" s="24"/>
      <c r="K12" s="24">
        <v>5602</v>
      </c>
      <c r="L12" s="24"/>
      <c r="M12" s="41">
        <v>5743</v>
      </c>
      <c r="N12" s="24"/>
      <c r="O12" s="24">
        <v>255</v>
      </c>
      <c r="P12" s="24"/>
      <c r="Q12" s="24">
        <v>249</v>
      </c>
      <c r="R12" s="24"/>
      <c r="S12" s="24">
        <v>828</v>
      </c>
      <c r="T12" s="24"/>
      <c r="U12" s="41">
        <v>225</v>
      </c>
      <c r="V12" s="24"/>
    </row>
    <row r="13" spans="1:22" s="1" customFormat="1" ht="10.35" customHeight="1" x14ac:dyDescent="0.2">
      <c r="A13" s="39" t="s">
        <v>15</v>
      </c>
      <c r="B13" s="6"/>
      <c r="C13" s="24">
        <v>3600</v>
      </c>
      <c r="D13" s="24"/>
      <c r="E13" s="24">
        <v>3672</v>
      </c>
      <c r="F13" s="24"/>
      <c r="G13" s="41">
        <v>23065</v>
      </c>
      <c r="H13" s="24"/>
      <c r="I13" s="24">
        <v>6709</v>
      </c>
      <c r="J13" s="24"/>
      <c r="K13" s="24">
        <v>6782</v>
      </c>
      <c r="L13" s="24"/>
      <c r="M13" s="41">
        <v>6732</v>
      </c>
      <c r="N13" s="24"/>
      <c r="O13" s="24">
        <v>252</v>
      </c>
      <c r="P13" s="24"/>
      <c r="Q13" s="24">
        <v>272</v>
      </c>
      <c r="R13" s="24"/>
      <c r="S13" s="24">
        <v>966</v>
      </c>
      <c r="T13" s="24"/>
      <c r="U13" s="41">
        <v>246</v>
      </c>
      <c r="V13" s="24"/>
    </row>
    <row r="14" spans="1:22" s="1" customFormat="1" ht="10.35" customHeight="1" x14ac:dyDescent="0.2">
      <c r="A14" s="39" t="s">
        <v>16</v>
      </c>
      <c r="B14" s="6"/>
      <c r="C14" s="24">
        <v>3891</v>
      </c>
      <c r="D14" s="24"/>
      <c r="E14" s="24">
        <v>3934</v>
      </c>
      <c r="F14" s="24"/>
      <c r="G14" s="41">
        <v>25501</v>
      </c>
      <c r="H14" s="24"/>
      <c r="I14" s="24">
        <v>7163</v>
      </c>
      <c r="J14" s="24"/>
      <c r="K14" s="24">
        <v>8188</v>
      </c>
      <c r="L14" s="24"/>
      <c r="M14" s="41">
        <v>7571</v>
      </c>
      <c r="N14" s="24"/>
      <c r="O14" s="24">
        <v>264</v>
      </c>
      <c r="P14" s="24"/>
      <c r="Q14" s="24">
        <v>273</v>
      </c>
      <c r="R14" s="24"/>
      <c r="S14" s="24">
        <v>1348</v>
      </c>
      <c r="T14" s="24"/>
      <c r="U14" s="41">
        <v>278</v>
      </c>
      <c r="V14" s="24"/>
    </row>
    <row r="15" spans="1:22" s="1" customFormat="1" ht="10.35" customHeight="1" x14ac:dyDescent="0.2">
      <c r="A15" s="39" t="s">
        <v>17</v>
      </c>
      <c r="B15" s="6"/>
      <c r="C15" s="24">
        <v>4112</v>
      </c>
      <c r="D15" s="24"/>
      <c r="E15" s="24">
        <v>4196</v>
      </c>
      <c r="F15" s="24"/>
      <c r="G15" s="41">
        <v>29353</v>
      </c>
      <c r="H15" s="24"/>
      <c r="I15" s="24">
        <v>7886</v>
      </c>
      <c r="J15" s="24"/>
      <c r="K15" s="24">
        <v>9417</v>
      </c>
      <c r="L15" s="24"/>
      <c r="M15" s="41">
        <v>8530</v>
      </c>
      <c r="N15" s="24"/>
      <c r="O15" s="24">
        <v>262</v>
      </c>
      <c r="P15" s="24"/>
      <c r="Q15" s="24">
        <v>315</v>
      </c>
      <c r="R15" s="24"/>
      <c r="S15" s="24">
        <v>1813</v>
      </c>
      <c r="T15" s="24"/>
      <c r="U15" s="41">
        <v>312</v>
      </c>
      <c r="V15" s="24"/>
    </row>
    <row r="16" spans="1:22" s="1" customFormat="1" ht="10.35" customHeight="1" x14ac:dyDescent="0.2">
      <c r="A16" s="39" t="s">
        <v>18</v>
      </c>
      <c r="B16" s="6"/>
      <c r="C16" s="24">
        <v>4459</v>
      </c>
      <c r="D16" s="24"/>
      <c r="E16" s="24">
        <v>4525</v>
      </c>
      <c r="F16" s="24"/>
      <c r="G16" s="41">
        <v>31726</v>
      </c>
      <c r="H16" s="24"/>
      <c r="I16" s="24">
        <v>8651</v>
      </c>
      <c r="J16" s="24"/>
      <c r="K16" s="24">
        <v>10133</v>
      </c>
      <c r="L16" s="24"/>
      <c r="M16" s="41">
        <v>9297</v>
      </c>
      <c r="N16" s="24"/>
      <c r="O16" s="24">
        <v>272</v>
      </c>
      <c r="P16" s="24"/>
      <c r="Q16" s="24">
        <v>343</v>
      </c>
      <c r="R16" s="24"/>
      <c r="S16" s="24">
        <v>2303</v>
      </c>
      <c r="T16" s="24"/>
      <c r="U16" s="41">
        <v>374</v>
      </c>
      <c r="V16" s="24"/>
    </row>
    <row r="17" spans="1:22" s="1" customFormat="1" ht="10.35" customHeight="1" x14ac:dyDescent="0.2">
      <c r="A17" s="39" t="s">
        <v>19</v>
      </c>
      <c r="B17" s="6"/>
      <c r="C17" s="24">
        <v>4687</v>
      </c>
      <c r="D17" s="24"/>
      <c r="E17" s="24">
        <v>4841</v>
      </c>
      <c r="F17" s="24"/>
      <c r="G17" s="41">
        <v>34462</v>
      </c>
      <c r="H17" s="24"/>
      <c r="I17" s="24">
        <v>9152</v>
      </c>
      <c r="J17" s="24"/>
      <c r="K17" s="24">
        <v>11263</v>
      </c>
      <c r="L17" s="24"/>
      <c r="M17" s="41">
        <v>10073</v>
      </c>
      <c r="N17" s="24"/>
      <c r="O17" s="24">
        <v>277</v>
      </c>
      <c r="P17" s="24"/>
      <c r="Q17" s="24">
        <v>361</v>
      </c>
      <c r="R17" s="24"/>
      <c r="S17" s="24">
        <v>2592</v>
      </c>
      <c r="T17" s="24"/>
      <c r="U17" s="41">
        <v>418</v>
      </c>
      <c r="V17" s="24"/>
    </row>
    <row r="18" spans="1:22" s="1" customFormat="1" ht="10.35" customHeight="1" x14ac:dyDescent="0.2">
      <c r="A18" s="39" t="s">
        <v>20</v>
      </c>
      <c r="B18" s="6"/>
      <c r="C18" s="24">
        <v>4974</v>
      </c>
      <c r="D18" s="24"/>
      <c r="E18" s="24">
        <v>5259</v>
      </c>
      <c r="F18" s="24"/>
      <c r="G18" s="41">
        <v>36753</v>
      </c>
      <c r="H18" s="24"/>
      <c r="I18" s="24">
        <v>9578</v>
      </c>
      <c r="J18" s="24"/>
      <c r="K18" s="24">
        <v>11832</v>
      </c>
      <c r="L18" s="24"/>
      <c r="M18" s="41">
        <v>10555</v>
      </c>
      <c r="N18" s="24"/>
      <c r="O18" s="24">
        <v>291</v>
      </c>
      <c r="P18" s="24"/>
      <c r="Q18" s="24">
        <v>400</v>
      </c>
      <c r="R18" s="24"/>
      <c r="S18" s="24">
        <v>2975</v>
      </c>
      <c r="T18" s="24"/>
      <c r="U18" s="41">
        <v>447</v>
      </c>
      <c r="V18" s="24"/>
    </row>
    <row r="19" spans="1:22" s="1" customFormat="1" ht="10.35" customHeight="1" x14ac:dyDescent="0.2">
      <c r="A19" s="39" t="s">
        <v>21</v>
      </c>
      <c r="B19" s="6"/>
      <c r="C19" s="24">
        <v>5332</v>
      </c>
      <c r="D19" s="24"/>
      <c r="E19" s="24">
        <v>5502</v>
      </c>
      <c r="F19" s="24"/>
      <c r="G19" s="41">
        <v>40910</v>
      </c>
      <c r="H19" s="24"/>
      <c r="I19" s="24">
        <v>10204</v>
      </c>
      <c r="J19" s="24"/>
      <c r="K19" s="24">
        <v>12884</v>
      </c>
      <c r="L19" s="24"/>
      <c r="M19" s="41">
        <v>11370</v>
      </c>
      <c r="N19" s="24"/>
      <c r="O19" s="24">
        <v>309</v>
      </c>
      <c r="P19" s="24"/>
      <c r="Q19" s="24">
        <v>453</v>
      </c>
      <c r="R19" s="24"/>
      <c r="S19" s="24">
        <v>3768</v>
      </c>
      <c r="T19" s="24"/>
      <c r="U19" s="41">
        <v>488</v>
      </c>
      <c r="V19" s="24"/>
    </row>
    <row r="20" spans="1:22" s="1" customFormat="1" ht="10.35" customHeight="1" x14ac:dyDescent="0.2">
      <c r="A20" s="39" t="s">
        <v>22</v>
      </c>
      <c r="B20" s="6"/>
      <c r="C20" s="24">
        <v>5817</v>
      </c>
      <c r="D20" s="24"/>
      <c r="E20" s="24">
        <v>5700</v>
      </c>
      <c r="F20" s="24"/>
      <c r="G20" s="41">
        <v>44466</v>
      </c>
      <c r="H20" s="24"/>
      <c r="I20" s="24">
        <v>11230</v>
      </c>
      <c r="J20" s="24"/>
      <c r="K20" s="24">
        <v>14207</v>
      </c>
      <c r="L20" s="24"/>
      <c r="M20" s="41">
        <v>12554</v>
      </c>
      <c r="N20" s="24"/>
      <c r="O20" s="24">
        <v>344</v>
      </c>
      <c r="P20" s="24"/>
      <c r="Q20" s="24">
        <v>503</v>
      </c>
      <c r="R20" s="24"/>
      <c r="S20" s="24">
        <v>4453</v>
      </c>
      <c r="T20" s="24"/>
      <c r="U20" s="41">
        <v>534</v>
      </c>
      <c r="V20" s="24"/>
    </row>
    <row r="21" spans="1:22" s="1" customFormat="1" ht="10.35" customHeight="1" x14ac:dyDescent="0.2">
      <c r="A21" s="39" t="s">
        <v>23</v>
      </c>
      <c r="B21" s="6"/>
      <c r="C21" s="24">
        <v>6563.66</v>
      </c>
      <c r="D21" s="24"/>
      <c r="E21" s="24">
        <v>6716.62</v>
      </c>
      <c r="F21" s="24"/>
      <c r="G21" s="41">
        <v>50242.239999999998</v>
      </c>
      <c r="H21" s="24"/>
      <c r="I21" s="24">
        <v>12782.02</v>
      </c>
      <c r="J21" s="24"/>
      <c r="K21" s="24">
        <v>15965.61</v>
      </c>
      <c r="L21" s="24"/>
      <c r="M21" s="41">
        <v>14202</v>
      </c>
      <c r="N21" s="24"/>
      <c r="O21" s="24">
        <v>366.05</v>
      </c>
      <c r="P21" s="24"/>
      <c r="Q21" s="24">
        <v>524.09</v>
      </c>
      <c r="R21" s="24"/>
      <c r="S21" s="24">
        <v>5252.25</v>
      </c>
      <c r="T21" s="24"/>
      <c r="U21" s="41">
        <v>616.69000000000005</v>
      </c>
      <c r="V21" s="24"/>
    </row>
    <row r="22" spans="1:22" s="1" customFormat="1" ht="10.35" customHeight="1" x14ac:dyDescent="0.2">
      <c r="A22" s="39" t="s">
        <v>24</v>
      </c>
      <c r="B22" s="6"/>
      <c r="C22" s="24">
        <v>7004.74</v>
      </c>
      <c r="D22" s="24"/>
      <c r="E22" s="24">
        <v>7425.52</v>
      </c>
      <c r="F22" s="24"/>
      <c r="G22" s="41">
        <v>52670.31</v>
      </c>
      <c r="H22" s="24"/>
      <c r="I22" s="24">
        <v>13182.5</v>
      </c>
      <c r="J22" s="24"/>
      <c r="K22" s="24">
        <v>16521.939999999999</v>
      </c>
      <c r="L22" s="24"/>
      <c r="M22" s="41">
        <v>16195</v>
      </c>
      <c r="N22" s="24"/>
      <c r="O22" s="24">
        <v>405.52</v>
      </c>
      <c r="P22" s="24"/>
      <c r="Q22" s="24">
        <v>597.34</v>
      </c>
      <c r="R22" s="24"/>
      <c r="S22" s="24">
        <v>5627.34</v>
      </c>
      <c r="T22" s="24"/>
      <c r="U22" s="41">
        <v>699.66</v>
      </c>
      <c r="V22" s="24"/>
    </row>
    <row r="23" spans="1:22" s="1" customFormat="1" ht="10.35" customHeight="1" x14ac:dyDescent="0.2">
      <c r="A23" s="39" t="s">
        <v>25</v>
      </c>
      <c r="B23" s="6"/>
      <c r="C23" s="24">
        <v>7578</v>
      </c>
      <c r="D23" s="24"/>
      <c r="E23" s="24">
        <v>8314</v>
      </c>
      <c r="F23" s="24"/>
      <c r="G23" s="41">
        <v>57775</v>
      </c>
      <c r="H23" s="24"/>
      <c r="I23" s="24">
        <v>13263</v>
      </c>
      <c r="J23" s="24"/>
      <c r="K23" s="24">
        <v>17995</v>
      </c>
      <c r="L23" s="24"/>
      <c r="M23" s="41">
        <v>17548</v>
      </c>
      <c r="N23" s="24"/>
      <c r="O23" s="24">
        <v>452</v>
      </c>
      <c r="P23" s="24"/>
      <c r="Q23" s="24">
        <v>658</v>
      </c>
      <c r="R23" s="24"/>
      <c r="S23" s="24">
        <v>6159</v>
      </c>
      <c r="T23" s="24"/>
      <c r="U23" s="41">
        <v>800</v>
      </c>
      <c r="V23" s="24"/>
    </row>
    <row r="24" spans="1:22" s="1" customFormat="1" ht="10.35" customHeight="1" x14ac:dyDescent="0.2">
      <c r="A24" s="39" t="s">
        <v>26</v>
      </c>
      <c r="B24" s="6"/>
      <c r="C24" s="24">
        <v>7706</v>
      </c>
      <c r="D24" s="24"/>
      <c r="E24" s="24">
        <v>8524</v>
      </c>
      <c r="F24" s="24"/>
      <c r="G24" s="41">
        <v>59188</v>
      </c>
      <c r="H24" s="24"/>
      <c r="I24" s="24"/>
      <c r="J24" s="24"/>
      <c r="K24" s="24"/>
      <c r="L24" s="24"/>
      <c r="M24" s="41">
        <v>18469</v>
      </c>
      <c r="N24" s="24"/>
      <c r="O24" s="24">
        <v>462</v>
      </c>
      <c r="P24" s="24"/>
      <c r="Q24" s="24">
        <v>716</v>
      </c>
      <c r="R24" s="24"/>
      <c r="S24" s="24">
        <v>6446</v>
      </c>
      <c r="T24" s="24"/>
      <c r="U24" s="41">
        <v>867</v>
      </c>
      <c r="V24" s="24"/>
    </row>
    <row r="25" spans="1:22" s="1" customFormat="1" ht="10.35" customHeight="1" x14ac:dyDescent="0.2">
      <c r="A25" s="18">
        <v>1994</v>
      </c>
      <c r="B25" s="6"/>
      <c r="C25" s="24">
        <v>7750</v>
      </c>
      <c r="D25" s="24"/>
      <c r="E25" s="24">
        <v>8831</v>
      </c>
      <c r="F25" s="24"/>
      <c r="G25" s="41">
        <v>52747</v>
      </c>
      <c r="H25" s="24"/>
      <c r="I25" s="24"/>
      <c r="J25" s="24"/>
      <c r="K25" s="24"/>
      <c r="L25" s="24"/>
      <c r="M25" s="41">
        <v>19132</v>
      </c>
      <c r="N25" s="24"/>
      <c r="O25" s="24">
        <v>465</v>
      </c>
      <c r="P25" s="24"/>
      <c r="Q25" s="24">
        <v>709</v>
      </c>
      <c r="R25" s="24"/>
      <c r="S25" s="24">
        <v>7212</v>
      </c>
      <c r="T25" s="24"/>
      <c r="U25" s="41">
        <v>936</v>
      </c>
      <c r="V25" s="24"/>
    </row>
    <row r="26" spans="1:22" s="1" customFormat="1" ht="10.35" customHeight="1" x14ac:dyDescent="0.2">
      <c r="A26" s="18">
        <v>1995</v>
      </c>
      <c r="B26" s="6"/>
      <c r="C26" s="24">
        <v>8435</v>
      </c>
      <c r="D26" s="24"/>
      <c r="E26" s="24">
        <v>9318</v>
      </c>
      <c r="F26" s="24"/>
      <c r="G26" s="41">
        <v>71588</v>
      </c>
      <c r="H26" s="24"/>
      <c r="I26" s="24"/>
      <c r="J26" s="24"/>
      <c r="K26" s="24"/>
      <c r="L26" s="24"/>
      <c r="M26" s="41">
        <v>19813</v>
      </c>
      <c r="N26" s="24"/>
      <c r="O26" s="24">
        <v>481</v>
      </c>
      <c r="P26" s="24"/>
      <c r="Q26" s="24">
        <v>740</v>
      </c>
      <c r="R26" s="24"/>
      <c r="S26" s="24">
        <v>7957</v>
      </c>
      <c r="T26" s="24"/>
      <c r="U26" s="41">
        <v>1049</v>
      </c>
      <c r="V26" s="24"/>
    </row>
    <row r="27" spans="1:22" s="1" customFormat="1" ht="10.35" customHeight="1" x14ac:dyDescent="0.2">
      <c r="A27" s="18">
        <v>1996</v>
      </c>
      <c r="B27" s="6"/>
      <c r="C27" s="24">
        <v>8369</v>
      </c>
      <c r="D27" s="24"/>
      <c r="E27" s="24">
        <v>9026</v>
      </c>
      <c r="F27" s="24"/>
      <c r="G27" s="41">
        <v>69740</v>
      </c>
      <c r="H27" s="24"/>
      <c r="I27" s="24"/>
      <c r="J27" s="24"/>
      <c r="K27" s="24"/>
      <c r="L27" s="24"/>
      <c r="M27" s="41">
        <v>20734</v>
      </c>
      <c r="N27" s="24"/>
      <c r="O27" s="24">
        <v>491</v>
      </c>
      <c r="P27" s="24"/>
      <c r="Q27" s="24">
        <v>761</v>
      </c>
      <c r="R27" s="24"/>
      <c r="S27" s="24">
        <v>9172</v>
      </c>
      <c r="T27" s="24"/>
      <c r="U27" s="41">
        <v>1166</v>
      </c>
      <c r="V27" s="24"/>
    </row>
    <row r="28" spans="1:22" s="1" customFormat="1" ht="10.35" customHeight="1" x14ac:dyDescent="0.2">
      <c r="A28" s="18">
        <v>1997</v>
      </c>
      <c r="B28" s="6"/>
      <c r="C28" s="24">
        <f>54130400684/6129102</f>
        <v>8831.7017213940962</v>
      </c>
      <c r="D28" s="24"/>
      <c r="E28" s="24">
        <v>8572</v>
      </c>
      <c r="F28" s="24"/>
      <c r="G28" s="41">
        <v>73672</v>
      </c>
      <c r="H28" s="24"/>
      <c r="I28" s="24"/>
      <c r="J28" s="24"/>
      <c r="K28" s="24"/>
      <c r="L28" s="24"/>
      <c r="M28" s="41">
        <v>21035</v>
      </c>
      <c r="N28" s="24"/>
      <c r="O28" s="24">
        <v>502</v>
      </c>
      <c r="P28" s="24"/>
      <c r="Q28" s="24">
        <v>802</v>
      </c>
      <c r="R28" s="24"/>
      <c r="S28" s="24">
        <v>9434</v>
      </c>
      <c r="T28" s="24"/>
      <c r="U28" s="41">
        <v>1379</v>
      </c>
      <c r="V28" s="24"/>
    </row>
    <row r="29" spans="1:22" s="1" customFormat="1" ht="10.35" customHeight="1" x14ac:dyDescent="0.2">
      <c r="A29" s="18">
        <v>1998</v>
      </c>
      <c r="B29" s="6"/>
      <c r="C29" s="24">
        <f>60373521754/6637294</f>
        <v>9096.1047911995465</v>
      </c>
      <c r="D29" s="24"/>
      <c r="E29" s="24">
        <f>9641894817/1131844</f>
        <v>8518.7488885394105</v>
      </c>
      <c r="F29" s="24"/>
      <c r="G29" s="41">
        <f>8763333275/115582</f>
        <v>75819.187027391803</v>
      </c>
      <c r="H29" s="24"/>
      <c r="I29" s="24"/>
      <c r="J29" s="24"/>
      <c r="K29" s="24"/>
      <c r="L29" s="24"/>
      <c r="M29" s="41">
        <f>5952258859/285286</f>
        <v>20864.181414440245</v>
      </c>
      <c r="N29" s="24"/>
      <c r="O29" s="24">
        <f>2101946226/4365418</f>
        <v>481.49941792515631</v>
      </c>
      <c r="P29" s="24"/>
      <c r="Q29" s="24">
        <f>2682690772/3241169</f>
        <v>827.69234557037908</v>
      </c>
      <c r="R29" s="24"/>
      <c r="S29" s="24">
        <f>1691778814/526906</f>
        <v>3210.7791788288614</v>
      </c>
      <c r="T29" s="24"/>
      <c r="U29" s="41">
        <f>7618448294/4686950</f>
        <v>1625.4596899902922</v>
      </c>
      <c r="V29" s="24"/>
    </row>
    <row r="30" spans="1:22" s="1" customFormat="1" ht="10.35" customHeight="1" x14ac:dyDescent="0.2">
      <c r="A30" s="18">
        <v>1999</v>
      </c>
      <c r="B30" s="6"/>
      <c r="C30" s="24">
        <f>65849549697/6697764</f>
        <v>9831.5721033168684</v>
      </c>
      <c r="D30" s="24"/>
      <c r="E30" s="24">
        <f>9868157139/1167537</f>
        <v>8452.1151269724214</v>
      </c>
      <c r="F30" s="24"/>
      <c r="G30" s="41">
        <f>8521950750/110150</f>
        <v>77366.779391738542</v>
      </c>
      <c r="H30" s="24"/>
      <c r="I30" s="24"/>
      <c r="J30" s="24"/>
      <c r="K30" s="24"/>
      <c r="L30" s="24"/>
      <c r="M30" s="41">
        <f>6400098660/246407</f>
        <v>25973.688490992547</v>
      </c>
      <c r="N30" s="24"/>
      <c r="O30" s="24">
        <f>2255962720/4288014</f>
        <v>526.10899124862931</v>
      </c>
      <c r="P30" s="24"/>
      <c r="Q30" s="24">
        <f>2831516114/3299508</f>
        <v>858.16313038186297</v>
      </c>
      <c r="R30" s="24"/>
      <c r="S30" s="24">
        <f>2022691455/374677</f>
        <v>5398.4937826447849</v>
      </c>
      <c r="T30" s="24"/>
      <c r="U30" s="41">
        <f>9456913643/4865278</f>
        <v>1943.7560696428857</v>
      </c>
      <c r="V30" s="24"/>
    </row>
    <row r="31" spans="1:22" s="1" customFormat="1" ht="10.35" customHeight="1" x14ac:dyDescent="0.2">
      <c r="A31" s="18">
        <v>2000</v>
      </c>
      <c r="B31" s="6"/>
      <c r="C31" s="24">
        <f>72741603714/6888874</f>
        <v>10559.287876944767</v>
      </c>
      <c r="D31" s="24"/>
      <c r="E31" s="24">
        <f>10409058276/1227602</f>
        <v>8479.1799589769325</v>
      </c>
      <c r="F31" s="24"/>
      <c r="G31" s="41">
        <f>8611312320/107381</f>
        <v>80194.00378092959</v>
      </c>
      <c r="H31" s="24"/>
      <c r="I31" s="24"/>
      <c r="J31" s="24"/>
      <c r="K31" s="24"/>
      <c r="L31" s="24"/>
      <c r="M31" s="41">
        <f>6967248971/262373</f>
        <v>26554.748282025972</v>
      </c>
      <c r="N31" s="24"/>
      <c r="O31" s="24">
        <f>2316401463/4334631</f>
        <v>534.39415327394647</v>
      </c>
      <c r="P31" s="24"/>
      <c r="Q31" s="24">
        <f>3173572098/3425793</f>
        <v>926.37590712573706</v>
      </c>
      <c r="R31" s="24"/>
      <c r="S31" s="24">
        <f>2174563432/430305</f>
        <v>5053.5397729517435</v>
      </c>
      <c r="T31" s="24"/>
      <c r="U31" s="41">
        <f>11591050049/5008874</f>
        <v>2314.1029399022614</v>
      </c>
      <c r="V31" s="24"/>
    </row>
    <row r="32" spans="1:22" s="1" customFormat="1" ht="10.35" customHeight="1" x14ac:dyDescent="0.2">
      <c r="A32" s="18">
        <v>2001</v>
      </c>
      <c r="B32" s="6"/>
      <c r="C32" s="24">
        <f>80386047155/7107219</f>
        <v>11310.478424120602</v>
      </c>
      <c r="D32" s="24"/>
      <c r="E32" s="24">
        <f>11195382398/1235441</f>
        <v>9061.8511106560327</v>
      </c>
      <c r="F32" s="24"/>
      <c r="G32" s="41">
        <f>8866243913/104817</f>
        <v>84587.84274497458</v>
      </c>
      <c r="H32" s="24"/>
      <c r="I32" s="24"/>
      <c r="J32" s="24"/>
      <c r="K32" s="24"/>
      <c r="L32" s="24"/>
      <c r="M32" s="41">
        <f>7814213491/277289</f>
        <v>28180.75542484556</v>
      </c>
      <c r="N32" s="24"/>
      <c r="O32" s="24">
        <f>2527732518/4470931</f>
        <v>565.37050515876899</v>
      </c>
      <c r="P32" s="24"/>
      <c r="Q32" s="24">
        <f>3307344711/3507733</f>
        <v>942.87242244492381</v>
      </c>
      <c r="R32" s="24"/>
      <c r="S32" s="24">
        <f>2431131063/435549</f>
        <v>5581.7624721902703</v>
      </c>
      <c r="T32" s="24"/>
      <c r="U32" s="41">
        <f>13665846864/5228692</f>
        <v>2613.626288180677</v>
      </c>
      <c r="V32" s="24"/>
    </row>
    <row r="33" spans="1:22" s="1" customFormat="1" ht="10.35" customHeight="1" x14ac:dyDescent="0.2">
      <c r="A33" s="18">
        <v>2002</v>
      </c>
      <c r="B33" s="6"/>
      <c r="C33" s="24">
        <f>92413632363/7407718</f>
        <v>12475.317278951494</v>
      </c>
      <c r="D33" s="24"/>
      <c r="E33" s="24">
        <f>12118101730/1281745</f>
        <v>9454.3780003042721</v>
      </c>
      <c r="F33" s="24"/>
      <c r="G33" s="41">
        <f>9859957808/106262</f>
        <v>92789.123186087221</v>
      </c>
      <c r="H33" s="24"/>
      <c r="I33" s="24"/>
      <c r="J33" s="24"/>
      <c r="K33" s="24"/>
      <c r="L33" s="24"/>
      <c r="M33" s="41">
        <f>8804782621/317111</f>
        <v>27765.617152984287</v>
      </c>
      <c r="N33" s="24"/>
      <c r="O33" s="24">
        <f>2778139242/4681722</f>
        <v>593.40115495964949</v>
      </c>
      <c r="P33" s="24"/>
      <c r="Q33" s="24">
        <f>3649422489/3693327</f>
        <v>988.11247663691847</v>
      </c>
      <c r="R33" s="24"/>
      <c r="S33" s="24">
        <f>2670683261/467492</f>
        <v>5712.7892263397025</v>
      </c>
      <c r="T33" s="24"/>
      <c r="U33" s="41">
        <f>16212573618/5686242</f>
        <v>2851.1930406760739</v>
      </c>
      <c r="V33" s="24"/>
    </row>
    <row r="34" spans="1:22" s="1" customFormat="1" ht="10.35" customHeight="1" x14ac:dyDescent="0.2">
      <c r="A34" s="18">
        <v>2003</v>
      </c>
      <c r="B34" s="6"/>
      <c r="C34" s="24">
        <f>102013772972/7668562</f>
        <v>13302.855603436472</v>
      </c>
      <c r="D34" s="24"/>
      <c r="E34" s="24">
        <f>12931629251/1312783</f>
        <v>9850.5459401896587</v>
      </c>
      <c r="F34" s="24"/>
      <c r="G34" s="41">
        <f>9990304702/102472</f>
        <v>97493.019576079314</v>
      </c>
      <c r="H34" s="24"/>
      <c r="I34" s="24"/>
      <c r="J34" s="24"/>
      <c r="K34" s="24"/>
      <c r="L34" s="24"/>
      <c r="M34" s="41">
        <f>9055849673/311207</f>
        <v>29099.119470320398</v>
      </c>
      <c r="N34" s="24"/>
      <c r="O34" s="24">
        <f>3031671321/4844082</f>
        <v>625.85053700577328</v>
      </c>
      <c r="P34" s="24"/>
      <c r="Q34" s="24">
        <f>3896278137/3790141</f>
        <v>1028.0034798177694</v>
      </c>
      <c r="R34" s="24"/>
      <c r="S34" s="24">
        <f>3126523454/512497</f>
        <v>6100.5692794299284</v>
      </c>
      <c r="T34" s="24"/>
      <c r="U34" s="41">
        <f>18966067645/5918670</f>
        <v>3204.4475608540433</v>
      </c>
      <c r="V34" s="24"/>
    </row>
    <row r="35" spans="1:22" s="1" customFormat="1" ht="10.35" customHeight="1" x14ac:dyDescent="0.2">
      <c r="A35" s="18">
        <v>2004</v>
      </c>
      <c r="B35" s="6"/>
      <c r="C35" s="24">
        <f>111613968265/7932729</f>
        <v>14070.059403894928</v>
      </c>
      <c r="D35" s="24"/>
      <c r="E35" s="24">
        <f>14017503249/1339185</f>
        <v>10467.189558574804</v>
      </c>
      <c r="F35" s="24"/>
      <c r="G35" s="41">
        <f>10266240886/100596</f>
        <v>102054.16603045847</v>
      </c>
      <c r="H35" s="24"/>
      <c r="I35" s="24"/>
      <c r="J35" s="24"/>
      <c r="K35" s="24"/>
      <c r="L35" s="24"/>
      <c r="M35" s="41">
        <f>9297489072/311080</f>
        <v>29887.77508036518</v>
      </c>
      <c r="N35" s="24"/>
      <c r="O35" s="24">
        <f>3325659978/5010818</f>
        <v>663.69602288488625</v>
      </c>
      <c r="P35" s="24"/>
      <c r="Q35" s="24">
        <f>4303758439/3875684</f>
        <v>1110.4513265271369</v>
      </c>
      <c r="R35" s="24"/>
      <c r="S35" s="24">
        <f>3215545899/516965</f>
        <v>6220.0456491251825</v>
      </c>
      <c r="T35" s="24"/>
      <c r="U35" s="41">
        <f>22078431275/6128195</f>
        <v>3602.762522243499</v>
      </c>
      <c r="V35" s="24"/>
    </row>
    <row r="36" spans="1:22" s="1" customFormat="1" ht="10.35" customHeight="1" x14ac:dyDescent="0.2">
      <c r="A36" s="18">
        <v>2005</v>
      </c>
      <c r="B36" s="6"/>
      <c r="C36" s="24">
        <f>118683158532/8164987</f>
        <v>14535.621248631503</v>
      </c>
      <c r="D36" s="24"/>
      <c r="E36" s="24">
        <f>14372729621/1327271</f>
        <v>10828.782984786076</v>
      </c>
      <c r="F36" s="24"/>
      <c r="G36" s="41">
        <f>10817803371/98631</f>
        <v>109679.546704383</v>
      </c>
      <c r="H36" s="24"/>
      <c r="I36" s="24"/>
      <c r="J36" s="24"/>
      <c r="K36" s="24"/>
      <c r="L36" s="24"/>
      <c r="M36" s="41">
        <f>9906834501/318995</f>
        <v>31056.394303985955</v>
      </c>
      <c r="N36" s="24"/>
      <c r="O36" s="24">
        <f>3782201340/5037037</f>
        <v>750.87821272704571</v>
      </c>
      <c r="P36" s="24"/>
      <c r="Q36" s="24">
        <f>4206534524/3959518</f>
        <v>1062.3855034880507</v>
      </c>
      <c r="R36" s="24"/>
      <c r="S36" s="24">
        <f>3840761621/539199</f>
        <v>7123.0874333965749</v>
      </c>
      <c r="T36" s="24"/>
      <c r="U36" s="41">
        <f>23779426992/6266584</f>
        <v>3794.6394705632288</v>
      </c>
      <c r="V36" s="24"/>
    </row>
    <row r="37" spans="1:22" s="1" customFormat="1" ht="10.35" customHeight="1" x14ac:dyDescent="0.2">
      <c r="A37" s="18">
        <v>2006</v>
      </c>
      <c r="B37" s="6"/>
      <c r="C37" s="24">
        <f>114745349870/8253588</f>
        <v>13902.480941621996</v>
      </c>
      <c r="D37" s="24"/>
      <c r="E37" s="24">
        <f>15142919752/1385638</f>
        <v>10928.481863228346</v>
      </c>
      <c r="F37" s="24"/>
      <c r="G37" s="41">
        <f>10872655421/95763</f>
        <v>113537.12207219907</v>
      </c>
      <c r="H37" s="24"/>
      <c r="I37" s="24"/>
      <c r="J37" s="24"/>
      <c r="K37" s="24"/>
      <c r="L37" s="24"/>
      <c r="M37" s="41">
        <f>10355732815/323787</f>
        <v>31983.164287015847</v>
      </c>
      <c r="N37" s="24"/>
      <c r="O37" s="24">
        <f>3630508054/5012064</f>
        <v>724.35388973484771</v>
      </c>
      <c r="P37" s="24"/>
      <c r="Q37" s="24">
        <f>4376043819/3978637</f>
        <v>1099.8851664527324</v>
      </c>
      <c r="R37" s="24"/>
      <c r="S37" s="24">
        <f>4133075240/547924</f>
        <v>7543.1542330688198</v>
      </c>
      <c r="T37" s="24"/>
      <c r="U37" s="41">
        <f>16223942616/6129156</f>
        <v>2647.0108798013953</v>
      </c>
      <c r="V37" s="24"/>
    </row>
    <row r="38" spans="1:22" s="1" customFormat="1" ht="10.35" customHeight="1" x14ac:dyDescent="0.2">
      <c r="A38" s="18">
        <v>2007</v>
      </c>
      <c r="B38" s="6"/>
      <c r="C38" s="24">
        <f>119616515997/8427192</f>
        <v>14194.113056519895</v>
      </c>
      <c r="D38" s="24"/>
      <c r="E38" s="24">
        <f>15603723123/1275313</f>
        <v>12235.21058987088</v>
      </c>
      <c r="F38" s="24"/>
      <c r="G38" s="41">
        <f>10815882528/92833</f>
        <v>116509.02726401172</v>
      </c>
      <c r="H38" s="24"/>
      <c r="I38" s="24"/>
      <c r="J38" s="24"/>
      <c r="K38" s="24"/>
      <c r="L38" s="24"/>
      <c r="M38" s="41">
        <f>10859695133/324420</f>
        <v>33474.185108809565</v>
      </c>
      <c r="N38" s="24"/>
      <c r="O38" s="24">
        <f>3668550322/5026770</f>
        <v>729.80270074023679</v>
      </c>
      <c r="P38" s="24"/>
      <c r="Q38" s="24">
        <f>4526836144/3961864</f>
        <v>1142.6026092768454</v>
      </c>
      <c r="R38" s="24"/>
      <c r="S38" s="24">
        <f>4420350508/558115</f>
        <v>7920.1428164446397</v>
      </c>
      <c r="T38" s="24"/>
      <c r="U38" s="41">
        <f>13486784138/5158332</f>
        <v>2614.5630289015908</v>
      </c>
      <c r="V38" s="24"/>
    </row>
    <row r="39" spans="1:22" s="1" customFormat="1" ht="10.35" customHeight="1" x14ac:dyDescent="0.2">
      <c r="A39" s="18">
        <v>2008</v>
      </c>
      <c r="B39" s="6"/>
      <c r="C39" s="24">
        <f>129039649346/8693801</f>
        <v>14842.719467123759</v>
      </c>
      <c r="D39" s="24"/>
      <c r="E39" s="24">
        <f>15989273449/1289196</f>
        <v>12402.515559309833</v>
      </c>
      <c r="F39" s="24"/>
      <c r="G39" s="41">
        <f>11510823789/90891</f>
        <v>126644.26388751362</v>
      </c>
      <c r="H39" s="24"/>
      <c r="I39" s="24"/>
      <c r="J39" s="24"/>
      <c r="K39" s="24"/>
      <c r="L39" s="24"/>
      <c r="M39" s="41">
        <f>11308373504/322410</f>
        <v>35074.5122793958</v>
      </c>
      <c r="N39" s="24"/>
      <c r="O39" s="24">
        <f>3876997590/5048882</f>
        <v>767.89229575973457</v>
      </c>
      <c r="P39" s="24"/>
      <c r="Q39" s="24">
        <f>4805530933/3950147</f>
        <v>1216.544835673204</v>
      </c>
      <c r="R39" s="24"/>
      <c r="S39" s="24">
        <f>4604723825/545575</f>
        <v>8440.1298171653762</v>
      </c>
      <c r="T39" s="24"/>
      <c r="U39" s="41">
        <f>14094698920/5162390</f>
        <v>2730.2661984081019</v>
      </c>
      <c r="V39" s="24"/>
    </row>
    <row r="40" spans="1:22" s="1" customFormat="1" ht="10.35" customHeight="1" x14ac:dyDescent="0.2">
      <c r="A40" s="18">
        <v>2009</v>
      </c>
      <c r="B40" s="6"/>
      <c r="C40" s="24">
        <f>141596483252/9036364</f>
        <v>15669.630312811658</v>
      </c>
      <c r="D40" s="24"/>
      <c r="E40" s="24">
        <f>16923290930/1352385</f>
        <v>12513.663586922363</v>
      </c>
      <c r="F40" s="24"/>
      <c r="G40" s="41">
        <f>11670146293/88209</f>
        <v>132301.083710279</v>
      </c>
      <c r="H40" s="24"/>
      <c r="I40" s="24"/>
      <c r="J40" s="24"/>
      <c r="K40" s="24"/>
      <c r="L40" s="24"/>
      <c r="M40" s="41">
        <f>11766548518/330350</f>
        <v>35618.430507037992</v>
      </c>
      <c r="N40" s="24"/>
      <c r="O40" s="24">
        <f>4362119162/5316996</f>
        <v>820.41046523262378</v>
      </c>
      <c r="P40" s="24"/>
      <c r="Q40" s="24">
        <f>5496196640/4179649</f>
        <v>1314.9900003564892</v>
      </c>
      <c r="R40" s="24"/>
      <c r="S40" s="24">
        <f>4995933054/534088</f>
        <v>9354.1383704558048</v>
      </c>
      <c r="T40" s="24"/>
      <c r="U40" s="41">
        <f>14856090987/5434922</f>
        <v>2733.4506340661374</v>
      </c>
      <c r="V40" s="24"/>
    </row>
    <row r="41" spans="1:22" s="1" customFormat="1" ht="9.9499999999999993" customHeight="1" x14ac:dyDescent="0.2">
      <c r="A41" s="18">
        <v>2010</v>
      </c>
      <c r="B41" s="6"/>
      <c r="C41" s="24">
        <f>147097518680/9338355</f>
        <v>15751.973305791009</v>
      </c>
      <c r="D41" s="24"/>
      <c r="E41" s="24">
        <f>15439301521/1223243</f>
        <v>12621.61444700685</v>
      </c>
      <c r="F41" s="24"/>
      <c r="G41" s="41">
        <f>11388497823/86487</f>
        <v>131678.72423601235</v>
      </c>
      <c r="H41" s="24"/>
      <c r="I41" s="24"/>
      <c r="J41" s="24"/>
      <c r="K41" s="24"/>
      <c r="L41" s="24"/>
      <c r="M41" s="41">
        <f>12032941598/324866</f>
        <v>37039.707442453197</v>
      </c>
      <c r="N41" s="24"/>
      <c r="O41" s="24">
        <f>4438649850/5425939</f>
        <v>818.04271113258005</v>
      </c>
      <c r="P41" s="24"/>
      <c r="Q41" s="24">
        <f>5807659636/4136712</f>
        <v>1403.9313435404738</v>
      </c>
      <c r="R41" s="24"/>
      <c r="S41" s="24">
        <f>4795994545/557079</f>
        <v>8609.1820818950273</v>
      </c>
      <c r="T41" s="24"/>
      <c r="U41" s="41">
        <f>15270808812/5663141</f>
        <v>2696.5263291166511</v>
      </c>
      <c r="V41" s="6"/>
    </row>
    <row r="42" spans="1:22" s="1" customFormat="1" ht="10.35" customHeight="1" x14ac:dyDescent="0.2">
      <c r="A42" s="52" t="s">
        <v>27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s="1" customFormat="1" ht="10.3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s="1" customFormat="1" ht="10.3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s="1" customFormat="1" ht="10.3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s="3" customFormat="1" ht="15" customHeight="1" x14ac:dyDescent="0.2">
      <c r="A46" s="71" t="s">
        <v>53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</row>
    <row r="47" spans="1:22" s="4" customFormat="1" ht="15" customHeight="1" x14ac:dyDescent="0.2">
      <c r="A47" s="68" t="s">
        <v>32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</row>
    <row r="48" spans="1:22" s="25" customFormat="1" ht="15" customHeight="1" x14ac:dyDescent="0.2">
      <c r="A48" s="69" t="s">
        <v>63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</row>
    <row r="49" spans="1:22" s="1" customFormat="1" ht="10.5" customHeight="1" x14ac:dyDescent="0.2">
      <c r="A49" s="26" t="s">
        <v>28</v>
      </c>
      <c r="B49" s="27"/>
      <c r="C49" s="16"/>
      <c r="D49" s="16"/>
      <c r="E49" s="45" t="s">
        <v>0</v>
      </c>
      <c r="F49" s="16"/>
      <c r="G49" s="16"/>
      <c r="H49" s="16"/>
      <c r="I49" s="16"/>
      <c r="J49" s="16"/>
      <c r="K49" s="17" t="s">
        <v>1</v>
      </c>
      <c r="L49" s="16"/>
      <c r="M49" s="44" t="s">
        <v>45</v>
      </c>
      <c r="N49" s="16"/>
      <c r="O49" s="16"/>
      <c r="P49" s="16"/>
      <c r="Q49" s="35" t="s">
        <v>2</v>
      </c>
      <c r="R49" s="16"/>
      <c r="S49" s="17" t="s">
        <v>49</v>
      </c>
      <c r="T49" s="16"/>
      <c r="U49" s="46" t="s">
        <v>54</v>
      </c>
      <c r="V49" s="16"/>
    </row>
    <row r="50" spans="1:22" s="1" customFormat="1" ht="13.9" customHeight="1" x14ac:dyDescent="0.2">
      <c r="A50" s="28" t="s">
        <v>3</v>
      </c>
      <c r="B50" s="29"/>
      <c r="C50" s="48" t="s">
        <v>33</v>
      </c>
      <c r="D50" s="20"/>
      <c r="E50" s="48" t="s">
        <v>4</v>
      </c>
      <c r="F50" s="20"/>
      <c r="G50" s="43" t="s">
        <v>47</v>
      </c>
      <c r="H50" s="20"/>
      <c r="I50" s="30" t="s">
        <v>5</v>
      </c>
      <c r="J50" s="20"/>
      <c r="K50" s="30" t="s">
        <v>6</v>
      </c>
      <c r="L50" s="20"/>
      <c r="M50" s="43" t="s">
        <v>46</v>
      </c>
      <c r="N50" s="20"/>
      <c r="O50" s="30" t="s">
        <v>7</v>
      </c>
      <c r="P50" s="20"/>
      <c r="Q50" s="48" t="s">
        <v>4</v>
      </c>
      <c r="R50" s="20"/>
      <c r="S50" s="19" t="s">
        <v>48</v>
      </c>
      <c r="T50" s="20"/>
      <c r="U50" s="47" t="s">
        <v>55</v>
      </c>
      <c r="V50" s="20"/>
    </row>
    <row r="51" spans="1:22" s="1" customFormat="1" ht="12" customHeight="1" x14ac:dyDescent="0.2">
      <c r="A51" s="31"/>
      <c r="B51" s="31"/>
      <c r="C51" s="70" t="s">
        <v>64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</row>
    <row r="52" spans="1:22" s="1" customFormat="1" ht="10.35" customHeight="1" x14ac:dyDescent="0.2">
      <c r="A52" s="28" t="s">
        <v>8</v>
      </c>
      <c r="B52" s="29"/>
      <c r="C52" s="32">
        <f>C6/0.13923</f>
        <v>9164.6915176326947</v>
      </c>
      <c r="D52" s="32"/>
      <c r="E52" s="32">
        <f>E6/0.13923</f>
        <v>14199.525964231847</v>
      </c>
      <c r="F52" s="32"/>
      <c r="G52" s="32">
        <f>G6/0.13923</f>
        <v>37247.719600660777</v>
      </c>
      <c r="H52" s="32"/>
      <c r="I52" s="32">
        <f>I6/0.245071</f>
        <v>11498.708537525859</v>
      </c>
      <c r="J52" s="32">
        <f>J6/0.245071</f>
        <v>0</v>
      </c>
      <c r="K52" s="32">
        <f>K6/0.245071</f>
        <v>17525.533416846545</v>
      </c>
      <c r="L52" s="32">
        <f>L6/0.245071</f>
        <v>0</v>
      </c>
      <c r="M52" s="32">
        <f>M6/0.13923</f>
        <v>24757.595345830643</v>
      </c>
      <c r="N52" s="32"/>
      <c r="O52" s="32">
        <f>O6/0.13923</f>
        <v>1055.8069381598793</v>
      </c>
      <c r="P52" s="32"/>
      <c r="Q52" s="32">
        <f>Q6/0.13923</f>
        <v>660.7771313653667</v>
      </c>
      <c r="R52" s="32"/>
      <c r="S52" s="32">
        <f>S6/0.13923</f>
        <v>1982.3313940961</v>
      </c>
      <c r="T52" s="32"/>
      <c r="U52" s="32">
        <f>U6/0.13923</f>
        <v>825.97141420670835</v>
      </c>
      <c r="V52" s="29"/>
    </row>
    <row r="53" spans="1:22" s="1" customFormat="1" ht="10.35" customHeight="1" x14ac:dyDescent="0.2">
      <c r="A53" s="28" t="s">
        <v>9</v>
      </c>
      <c r="B53" s="29"/>
      <c r="C53" s="33">
        <f>C7/0.15326</f>
        <v>9585.0189220931752</v>
      </c>
      <c r="D53" s="34"/>
      <c r="E53" s="33">
        <f>E7/0.15326</f>
        <v>13519.509330549392</v>
      </c>
      <c r="F53" s="34"/>
      <c r="G53" s="33">
        <f>G7/0.15326</f>
        <v>45282.526425681848</v>
      </c>
      <c r="H53" s="34"/>
      <c r="I53" s="34">
        <f>I7/0.267557</f>
        <v>12322.607892897589</v>
      </c>
      <c r="J53" s="34">
        <f>J7/0.267557</f>
        <v>0</v>
      </c>
      <c r="K53" s="34">
        <f>K7/0.267557</f>
        <v>17360.786673493873</v>
      </c>
      <c r="L53" s="34">
        <f>L7/0.267557</f>
        <v>0</v>
      </c>
      <c r="M53" s="33">
        <f>M7/0.15326</f>
        <v>25329.505415633561</v>
      </c>
      <c r="N53" s="33"/>
      <c r="O53" s="33">
        <f>O7/0.15326</f>
        <v>1030.9278350515463</v>
      </c>
      <c r="P53" s="33"/>
      <c r="Q53" s="33">
        <f>Q7/0.15326</f>
        <v>743.83400756883725</v>
      </c>
      <c r="R53" s="33"/>
      <c r="S53" s="33">
        <f>S7/0.15326</f>
        <v>3210.230980033929</v>
      </c>
      <c r="T53" s="33"/>
      <c r="U53" s="33">
        <f>U7/0.15326</f>
        <v>880.85606159467568</v>
      </c>
      <c r="V53" s="29"/>
    </row>
    <row r="54" spans="1:22" s="1" customFormat="1" ht="10.35" customHeight="1" x14ac:dyDescent="0.2">
      <c r="A54" s="28" t="s">
        <v>10</v>
      </c>
      <c r="B54" s="29"/>
      <c r="C54" s="33">
        <f>C8/0.16632</f>
        <v>10479.797979797981</v>
      </c>
      <c r="D54" s="34"/>
      <c r="E54" s="33">
        <f>E8/0.16632</f>
        <v>13311.688311688313</v>
      </c>
      <c r="F54" s="34"/>
      <c r="G54" s="33">
        <f>G8/0.16632</f>
        <v>52212.602212602214</v>
      </c>
      <c r="H54" s="34"/>
      <c r="I54" s="34">
        <f>I8/0.293164</f>
        <v>13081.415180581518</v>
      </c>
      <c r="J54" s="34">
        <f>J8/0.293164</f>
        <v>0</v>
      </c>
      <c r="K54" s="34">
        <f>K8/0.293164</f>
        <v>17696.579389010931</v>
      </c>
      <c r="L54" s="34">
        <f>L8/0.293164</f>
        <v>0</v>
      </c>
      <c r="M54" s="33">
        <f>M8/0.16632</f>
        <v>26557.239057239058</v>
      </c>
      <c r="N54" s="33"/>
      <c r="O54" s="33">
        <f>O8/0.16632</f>
        <v>1040.1635401635401</v>
      </c>
      <c r="P54" s="33"/>
      <c r="Q54" s="33">
        <f>Q8/0.16632</f>
        <v>1022.1260221260221</v>
      </c>
      <c r="R54" s="33"/>
      <c r="S54" s="33">
        <f>S8/0.16632</f>
        <v>3607.5036075036078</v>
      </c>
      <c r="T54" s="33"/>
      <c r="U54" s="33">
        <f>U8/0.16632</f>
        <v>877.8258778258778</v>
      </c>
      <c r="V54" s="29"/>
    </row>
    <row r="55" spans="1:22" s="1" customFormat="1" ht="10.35" customHeight="1" x14ac:dyDescent="0.2">
      <c r="A55" s="28" t="s">
        <v>11</v>
      </c>
      <c r="B55" s="29"/>
      <c r="C55" s="33">
        <f>C9/0.1797</f>
        <v>11508.069003895382</v>
      </c>
      <c r="D55" s="34"/>
      <c r="E55" s="33">
        <f>E9/0.1797</f>
        <v>13311.074012242627</v>
      </c>
      <c r="F55" s="34"/>
      <c r="G55" s="33">
        <f>G9/0.1797</f>
        <v>66366.165831942126</v>
      </c>
      <c r="H55" s="34"/>
      <c r="I55" s="34">
        <f>I9/0.3213</f>
        <v>14680.983504512917</v>
      </c>
      <c r="J55" s="34">
        <f>J9/0.3213</f>
        <v>0</v>
      </c>
      <c r="K55" s="34">
        <f>K9/0.3213</f>
        <v>18092.125739184565</v>
      </c>
      <c r="L55" s="34">
        <f>L9/0.3213</f>
        <v>0</v>
      </c>
      <c r="M55" s="33">
        <f>M9/0.1797</f>
        <v>28753.478018920425</v>
      </c>
      <c r="N55" s="33"/>
      <c r="O55" s="33">
        <f>O9/0.1797</f>
        <v>1018.3639398998331</v>
      </c>
      <c r="P55" s="33"/>
      <c r="Q55" s="33">
        <f>Q9/0.1797</f>
        <v>918.19699499165279</v>
      </c>
      <c r="R55" s="33"/>
      <c r="S55" s="33">
        <f>S9/0.1797</f>
        <v>4969.3934335002787</v>
      </c>
      <c r="T55" s="33"/>
      <c r="U55" s="33">
        <f>U9/0.1797</f>
        <v>873.67835281023929</v>
      </c>
      <c r="V55" s="29"/>
    </row>
    <row r="56" spans="1:22" s="1" customFormat="1" ht="10.35" customHeight="1" x14ac:dyDescent="0.2">
      <c r="A56" s="28" t="s">
        <v>12</v>
      </c>
      <c r="B56" s="29"/>
      <c r="C56" s="33">
        <f>C10/0.19709</f>
        <v>12684.56035313816</v>
      </c>
      <c r="D56" s="34"/>
      <c r="E56" s="33">
        <f>E10/0.19709</f>
        <v>13871.835202191893</v>
      </c>
      <c r="F56" s="34"/>
      <c r="G56" s="33">
        <f>G10/0.19709</f>
        <v>69607.793393880973</v>
      </c>
      <c r="H56" s="34"/>
      <c r="I56" s="34">
        <f>I10/0.349451</f>
        <v>15841.992153406343</v>
      </c>
      <c r="J56" s="34">
        <f>J10/0.349451</f>
        <v>0</v>
      </c>
      <c r="K56" s="34">
        <f>K10/0.349451</f>
        <v>18274.378954417072</v>
      </c>
      <c r="L56" s="34">
        <f>L10/0.349451</f>
        <v>0</v>
      </c>
      <c r="M56" s="33">
        <f>M10/0.19709</f>
        <v>29900.045664417274</v>
      </c>
      <c r="N56" s="33"/>
      <c r="O56" s="33">
        <f>O10/0.19709</f>
        <v>1014.7648282510529</v>
      </c>
      <c r="P56" s="33"/>
      <c r="Q56" s="33">
        <f>Q10/0.19709</f>
        <v>943.7312902734792</v>
      </c>
      <c r="R56" s="33"/>
      <c r="S56" s="33">
        <f>S10/0.19709</f>
        <v>7549.8503221878336</v>
      </c>
      <c r="T56" s="33"/>
      <c r="U56" s="33">
        <f>U10/0.19709</f>
        <v>908.2145212846923</v>
      </c>
      <c r="V56" s="29"/>
    </row>
    <row r="57" spans="1:22" s="1" customFormat="1" ht="10.35" customHeight="1" x14ac:dyDescent="0.2">
      <c r="A57" s="28" t="s">
        <v>13</v>
      </c>
      <c r="B57" s="29"/>
      <c r="C57" s="33">
        <f>C11/0.21939</f>
        <v>11937.645289210994</v>
      </c>
      <c r="D57" s="34"/>
      <c r="E57" s="33">
        <f>E11/0.21939</f>
        <v>13437.257851315009</v>
      </c>
      <c r="F57" s="34"/>
      <c r="G57" s="33">
        <f>G11/0.21939</f>
        <v>75905.920962669217</v>
      </c>
      <c r="H57" s="34"/>
      <c r="I57" s="34">
        <f>I11/0.385079</f>
        <v>13223.260681574429</v>
      </c>
      <c r="J57" s="34">
        <f>J11/0.385079</f>
        <v>0</v>
      </c>
      <c r="K57" s="34">
        <f>K11/0.385079</f>
        <v>13371.282256368173</v>
      </c>
      <c r="L57" s="34">
        <f>L11/0.385079</f>
        <v>0</v>
      </c>
      <c r="M57" s="33">
        <f>M11/0.21939</f>
        <v>23269.064223528876</v>
      </c>
      <c r="N57" s="33"/>
      <c r="O57" s="33">
        <f>O11/0.21939</f>
        <v>1066.5937371803636</v>
      </c>
      <c r="P57" s="33"/>
      <c r="Q57" s="33">
        <f>Q11/0.21939</f>
        <v>989.10615798349966</v>
      </c>
      <c r="R57" s="33"/>
      <c r="S57" s="33">
        <f>S11/0.21939</f>
        <v>2971.8765668444321</v>
      </c>
      <c r="T57" s="33"/>
      <c r="U57" s="33">
        <f>U11/0.21939</f>
        <v>879.71192852910337</v>
      </c>
      <c r="V57" s="29"/>
    </row>
    <row r="58" spans="1:22" s="1" customFormat="1" ht="10.35" customHeight="1" x14ac:dyDescent="0.2">
      <c r="A58" s="28" t="s">
        <v>14</v>
      </c>
      <c r="B58" s="29"/>
      <c r="C58" s="33">
        <f>C12/0.24644</f>
        <v>12461.4510631391</v>
      </c>
      <c r="D58" s="34"/>
      <c r="E58" s="33">
        <f>E12/0.24644</f>
        <v>13204.025320564844</v>
      </c>
      <c r="F58" s="34"/>
      <c r="G58" s="33">
        <f>G12/0.24644</f>
        <v>78931.991559811722</v>
      </c>
      <c r="H58" s="34"/>
      <c r="I58" s="34">
        <f>I12/0.429902</f>
        <v>13656.60080669548</v>
      </c>
      <c r="J58" s="34">
        <f>J12/0.429902</f>
        <v>0</v>
      </c>
      <c r="K58" s="34">
        <f>K12/0.429902</f>
        <v>13030.87680448102</v>
      </c>
      <c r="L58" s="34">
        <f>L12/0.429902</f>
        <v>0</v>
      </c>
      <c r="M58" s="33">
        <f>M12/0.24644</f>
        <v>23303.846778120434</v>
      </c>
      <c r="N58" s="33"/>
      <c r="O58" s="33">
        <f>O12/0.24644</f>
        <v>1034.7346210030839</v>
      </c>
      <c r="P58" s="33"/>
      <c r="Q58" s="33">
        <f>Q12/0.24644</f>
        <v>1010.3879240383055</v>
      </c>
      <c r="R58" s="33"/>
      <c r="S58" s="33">
        <f>S12/0.24644</f>
        <v>3359.8441811394255</v>
      </c>
      <c r="T58" s="33"/>
      <c r="U58" s="33">
        <f>U12/0.24644</f>
        <v>913.00113617919169</v>
      </c>
      <c r="V58" s="29"/>
    </row>
    <row r="59" spans="1:22" s="1" customFormat="1" ht="10.35" customHeight="1" x14ac:dyDescent="0.2">
      <c r="A59" s="28" t="s">
        <v>15</v>
      </c>
      <c r="B59" s="29"/>
      <c r="C59" s="33">
        <f>C13/0.27567</f>
        <v>13059.092393078679</v>
      </c>
      <c r="D59" s="34"/>
      <c r="E59" s="33">
        <f>E13/0.27567</f>
        <v>13320.274240940253</v>
      </c>
      <c r="F59" s="34"/>
      <c r="G59" s="33">
        <f>G13/0.27567</f>
        <v>83668.879457322153</v>
      </c>
      <c r="H59" s="34"/>
      <c r="I59" s="34">
        <f>I13/0.4277834</f>
        <v>15683.170501707173</v>
      </c>
      <c r="J59" s="34">
        <f>J13/0.4277834</f>
        <v>0</v>
      </c>
      <c r="K59" s="34">
        <f>K13/0.4277834</f>
        <v>15853.817609565964</v>
      </c>
      <c r="L59" s="34">
        <f>L13/0.4277834</f>
        <v>0</v>
      </c>
      <c r="M59" s="33">
        <f>M13/0.27567</f>
        <v>24420.502775057132</v>
      </c>
      <c r="N59" s="33"/>
      <c r="O59" s="33">
        <f>O13/0.27567</f>
        <v>914.13646751550755</v>
      </c>
      <c r="P59" s="33"/>
      <c r="Q59" s="33">
        <f>Q13/0.27567</f>
        <v>986.68698081038917</v>
      </c>
      <c r="R59" s="33"/>
      <c r="S59" s="33">
        <f>S13/0.27567</f>
        <v>3504.189792142779</v>
      </c>
      <c r="T59" s="33"/>
      <c r="U59" s="33">
        <f>U13/0.27567</f>
        <v>892.37131352704307</v>
      </c>
      <c r="V59" s="29"/>
    </row>
    <row r="60" spans="1:22" s="1" customFormat="1" ht="10.35" customHeight="1" x14ac:dyDescent="0.2">
      <c r="A60" s="28" t="s">
        <v>16</v>
      </c>
      <c r="B60" s="29"/>
      <c r="C60" s="33">
        <f>C14/0.30192</f>
        <v>12887.519872813989</v>
      </c>
      <c r="D60" s="34"/>
      <c r="E60" s="33">
        <f>E14/0.30192</f>
        <v>13029.941706412294</v>
      </c>
      <c r="F60" s="34"/>
      <c r="G60" s="33">
        <f>G14/0.30192</f>
        <v>84462.771595124534</v>
      </c>
      <c r="H60" s="34"/>
      <c r="I60" s="34">
        <f>I14/0.477834</f>
        <v>14990.561575777363</v>
      </c>
      <c r="J60" s="34">
        <f>J14/0.477834</f>
        <v>0</v>
      </c>
      <c r="K60" s="34">
        <f>K14/0.477834</f>
        <v>17135.657990013267</v>
      </c>
      <c r="L60" s="34">
        <f>L14/0.477834</f>
        <v>0</v>
      </c>
      <c r="M60" s="33">
        <f>M14/0.30192</f>
        <v>25076.179120296765</v>
      </c>
      <c r="N60" s="33"/>
      <c r="O60" s="33">
        <f>O14/0.30192</f>
        <v>874.40381558028605</v>
      </c>
      <c r="P60" s="33"/>
      <c r="Q60" s="33">
        <f>Q14/0.30192</f>
        <v>904.21303656597763</v>
      </c>
      <c r="R60" s="33"/>
      <c r="S60" s="33">
        <f>S14/0.30192</f>
        <v>4464.7588765235823</v>
      </c>
      <c r="T60" s="33"/>
      <c r="U60" s="33">
        <f>U14/0.30192</f>
        <v>920.77371489136192</v>
      </c>
      <c r="V60" s="29"/>
    </row>
    <row r="61" spans="1:22" s="1" customFormat="1" ht="10.35" customHeight="1" x14ac:dyDescent="0.2">
      <c r="A61" s="28" t="s">
        <v>17</v>
      </c>
      <c r="B61" s="29"/>
      <c r="C61" s="33">
        <f>C15/0.32592</f>
        <v>12616.593028964164</v>
      </c>
      <c r="D61" s="34"/>
      <c r="E61" s="33">
        <f>E15/0.32592</f>
        <v>12874.32498772705</v>
      </c>
      <c r="F61" s="34"/>
      <c r="G61" s="33">
        <f>G15/0.32592</f>
        <v>90061.978399607266</v>
      </c>
      <c r="H61" s="34"/>
      <c r="I61" s="34">
        <f>I15/0.5543</f>
        <v>14226.952913584701</v>
      </c>
      <c r="J61" s="34">
        <f>J15/0.5543</f>
        <v>0</v>
      </c>
      <c r="K61" s="34">
        <f>K15/0.5543</f>
        <v>16988.995128991519</v>
      </c>
      <c r="L61" s="34">
        <f>L15/0.5543</f>
        <v>0</v>
      </c>
      <c r="M61" s="33">
        <f>M15/0.32592</f>
        <v>26172.066764850271</v>
      </c>
      <c r="N61" s="33"/>
      <c r="O61" s="33">
        <f>O15/0.32592</f>
        <v>803.87825233186061</v>
      </c>
      <c r="P61" s="33"/>
      <c r="Q61" s="33">
        <f>Q15/0.32592</f>
        <v>966.4948453608248</v>
      </c>
      <c r="R61" s="33"/>
      <c r="S61" s="33">
        <f>S15/0.32592</f>
        <v>5562.7147766323023</v>
      </c>
      <c r="T61" s="33"/>
      <c r="U61" s="33">
        <f>U15/0.32592</f>
        <v>957.29013254786457</v>
      </c>
      <c r="V61" s="29"/>
    </row>
    <row r="62" spans="1:22" s="1" customFormat="1" ht="10.35" customHeight="1" x14ac:dyDescent="0.2">
      <c r="A62" s="28" t="s">
        <v>18</v>
      </c>
      <c r="B62" s="29"/>
      <c r="C62" s="33">
        <f>C16/0.3465</f>
        <v>12868.686868686869</v>
      </c>
      <c r="D62" s="34"/>
      <c r="E62" s="33">
        <f>E16/0.3465</f>
        <v>13059.16305916306</v>
      </c>
      <c r="F62" s="34"/>
      <c r="G62" s="33">
        <f>G16/0.3465</f>
        <v>91561.327561327562</v>
      </c>
      <c r="H62" s="34"/>
      <c r="I62" s="34">
        <f>I16/0.585905</f>
        <v>14765.192309333424</v>
      </c>
      <c r="J62" s="34">
        <f>J16/0.585905</f>
        <v>0</v>
      </c>
      <c r="K62" s="34">
        <f>K16/0.585905</f>
        <v>17294.612607845982</v>
      </c>
      <c r="L62" s="34">
        <f>L16/0.585905</f>
        <v>0</v>
      </c>
      <c r="M62" s="33">
        <f>M16/0.3465</f>
        <v>26831.168831168834</v>
      </c>
      <c r="N62" s="33"/>
      <c r="O62" s="33">
        <f>O16/0.3465</f>
        <v>784.992784992785</v>
      </c>
      <c r="P62" s="33"/>
      <c r="Q62" s="33">
        <f>Q16/0.3465</f>
        <v>989.89898989898995</v>
      </c>
      <c r="R62" s="33"/>
      <c r="S62" s="33">
        <f>S16/0.3465</f>
        <v>6646.4646464646466</v>
      </c>
      <c r="T62" s="33"/>
      <c r="U62" s="33">
        <f>U16/0.3465</f>
        <v>1079.3650793650795</v>
      </c>
      <c r="V62" s="29"/>
    </row>
    <row r="63" spans="1:22" s="1" customFormat="1" ht="10.35" customHeight="1" x14ac:dyDescent="0.2">
      <c r="A63" s="28" t="s">
        <v>19</v>
      </c>
      <c r="B63" s="29"/>
      <c r="C63" s="33">
        <f>C17/0.36658</f>
        <v>12785.749358939385</v>
      </c>
      <c r="D63" s="34"/>
      <c r="E63" s="33">
        <f>E17/0.36658</f>
        <v>13205.848655136668</v>
      </c>
      <c r="F63" s="34"/>
      <c r="G63" s="33">
        <f>G17/0.36658</f>
        <v>94009.493152927054</v>
      </c>
      <c r="H63" s="34"/>
      <c r="I63" s="34">
        <f>I17/0.608646</f>
        <v>15036.655132868695</v>
      </c>
      <c r="J63" s="34">
        <f>J17/0.608646</f>
        <v>0</v>
      </c>
      <c r="K63" s="34">
        <f>K17/0.608646</f>
        <v>18505.009480059016</v>
      </c>
      <c r="L63" s="34">
        <f>L17/0.608646</f>
        <v>0</v>
      </c>
      <c r="M63" s="33">
        <f>M17/0.36658</f>
        <v>27478.313055813192</v>
      </c>
      <c r="N63" s="33"/>
      <c r="O63" s="33">
        <f>O17/0.36658</f>
        <v>755.63314965355448</v>
      </c>
      <c r="P63" s="33"/>
      <c r="Q63" s="33">
        <f>Q17/0.36658</f>
        <v>984.77822030661787</v>
      </c>
      <c r="R63" s="33"/>
      <c r="S63" s="33">
        <f>S17/0.36658</f>
        <v>7070.7621801516716</v>
      </c>
      <c r="T63" s="33"/>
      <c r="U63" s="33">
        <f>U17/0.36658</f>
        <v>1140.269518249768</v>
      </c>
      <c r="V63" s="29"/>
    </row>
    <row r="64" spans="1:22" s="1" customFormat="1" ht="10.35" customHeight="1" x14ac:dyDescent="0.2">
      <c r="A64" s="28" t="s">
        <v>20</v>
      </c>
      <c r="B64" s="29"/>
      <c r="C64" s="33">
        <f>C18/0.38999</f>
        <v>12754.173183927793</v>
      </c>
      <c r="D64" s="34"/>
      <c r="E64" s="33">
        <f>E18/0.38999</f>
        <v>13484.961152850074</v>
      </c>
      <c r="F64" s="34"/>
      <c r="G64" s="33">
        <f>G18/0.38999</f>
        <v>94240.877971230031</v>
      </c>
      <c r="H64" s="34"/>
      <c r="I64" s="34">
        <f>I18/0.634799</f>
        <v>15088.240529679473</v>
      </c>
      <c r="J64" s="34">
        <f>J18/0.634799</f>
        <v>0</v>
      </c>
      <c r="K64" s="34">
        <f>K18/0.634799</f>
        <v>18638.970760823504</v>
      </c>
      <c r="L64" s="34">
        <f>L18/0.634799</f>
        <v>0</v>
      </c>
      <c r="M64" s="33">
        <f>M18/0.38999</f>
        <v>27064.796533244444</v>
      </c>
      <c r="N64" s="33"/>
      <c r="O64" s="33">
        <f>O18/0.38999</f>
        <v>746.17297879432806</v>
      </c>
      <c r="P64" s="33"/>
      <c r="Q64" s="33">
        <f>Q18/0.38999</f>
        <v>1025.6673248032</v>
      </c>
      <c r="R64" s="33"/>
      <c r="S64" s="33">
        <f>S18/0.38999</f>
        <v>7628.4007282238008</v>
      </c>
      <c r="T64" s="33"/>
      <c r="U64" s="33">
        <f>U18/0.38999</f>
        <v>1146.183235467576</v>
      </c>
      <c r="V64" s="29"/>
    </row>
    <row r="65" spans="1:22" s="1" customFormat="1" ht="10.35" customHeight="1" x14ac:dyDescent="0.2">
      <c r="A65" s="28" t="s">
        <v>21</v>
      </c>
      <c r="B65" s="29"/>
      <c r="C65" s="33">
        <f>C19/0.41844</f>
        <v>12742.567632157537</v>
      </c>
      <c r="D65" s="34"/>
      <c r="E65" s="33">
        <f>E19/0.41844</f>
        <v>13148.838543160311</v>
      </c>
      <c r="F65" s="34"/>
      <c r="G65" s="33">
        <f>G19/0.41844</f>
        <v>97767.899818373015</v>
      </c>
      <c r="H65" s="34"/>
      <c r="I65" s="34">
        <f>I19/0.678796</f>
        <v>15032.498718318906</v>
      </c>
      <c r="J65" s="34">
        <f>J19/0.678796</f>
        <v>0</v>
      </c>
      <c r="K65" s="34">
        <f>K19/0.678796</f>
        <v>18980.665767034574</v>
      </c>
      <c r="L65" s="34">
        <f>L19/0.678796</f>
        <v>0</v>
      </c>
      <c r="M65" s="33">
        <f>M19/0.41844</f>
        <v>27172.354459420705</v>
      </c>
      <c r="N65" s="33"/>
      <c r="O65" s="33">
        <f>O19/0.41844</f>
        <v>738.45712646974482</v>
      </c>
      <c r="P65" s="33"/>
      <c r="Q65" s="33">
        <f>Q19/0.41844</f>
        <v>1082.5924863779753</v>
      </c>
      <c r="R65" s="33"/>
      <c r="S65" s="33">
        <f>S19/0.41844</f>
        <v>9004.8752509320329</v>
      </c>
      <c r="T65" s="33"/>
      <c r="U65" s="33">
        <f>U19/0.41844</f>
        <v>1166.2364974667814</v>
      </c>
      <c r="V65" s="29"/>
    </row>
    <row r="66" spans="1:22" s="1" customFormat="1" ht="10.35" customHeight="1" x14ac:dyDescent="0.2">
      <c r="A66" s="28" t="s">
        <v>22</v>
      </c>
      <c r="B66" s="29"/>
      <c r="C66" s="33">
        <f>C20/0.45484</f>
        <v>12789.112654999559</v>
      </c>
      <c r="D66" s="34"/>
      <c r="E66" s="33">
        <f>E20/0.45484</f>
        <v>12531.879342186263</v>
      </c>
      <c r="F66" s="34"/>
      <c r="G66" s="33">
        <f>G20/0.45484</f>
        <v>97761.850320991987</v>
      </c>
      <c r="H66" s="34"/>
      <c r="I66" s="34">
        <f>I20/0.735113</f>
        <v>15276.562922979188</v>
      </c>
      <c r="J66" s="34">
        <f>J20/0.735113</f>
        <v>0</v>
      </c>
      <c r="K66" s="34">
        <f>K20/0.735113</f>
        <v>19326.280449400296</v>
      </c>
      <c r="L66" s="34">
        <f>L20/0.735113</f>
        <v>0</v>
      </c>
      <c r="M66" s="33">
        <f>M20/0.45484</f>
        <v>27600.914607334445</v>
      </c>
      <c r="N66" s="33"/>
      <c r="O66" s="33">
        <f>O20/0.45484</f>
        <v>756.30991117755696</v>
      </c>
      <c r="P66" s="33"/>
      <c r="Q66" s="33">
        <f>Q20/0.45484</f>
        <v>1105.8833875648579</v>
      </c>
      <c r="R66" s="33"/>
      <c r="S66" s="33">
        <f>S20/0.45484</f>
        <v>9790.2559141676193</v>
      </c>
      <c r="T66" s="33"/>
      <c r="U66" s="33">
        <f>U20/0.45484</f>
        <v>1174.0392225837656</v>
      </c>
      <c r="V66" s="29"/>
    </row>
    <row r="67" spans="1:22" s="1" customFormat="1" ht="10.35" customHeight="1" x14ac:dyDescent="0.2">
      <c r="A67" s="28" t="s">
        <v>23</v>
      </c>
      <c r="B67" s="29"/>
      <c r="C67" s="33">
        <f>C21/0.494</f>
        <v>13286.761133603239</v>
      </c>
      <c r="D67" s="34"/>
      <c r="E67" s="33">
        <f>E21/0.494</f>
        <v>13596.396761133603</v>
      </c>
      <c r="F67" s="34"/>
      <c r="G67" s="33">
        <f>G21/0.494</f>
        <v>101704.93927125506</v>
      </c>
      <c r="H67" s="34"/>
      <c r="I67" s="34">
        <f>I21/0.792817</f>
        <v>16122.282948019531</v>
      </c>
      <c r="J67" s="34">
        <f>J21/0.792817</f>
        <v>0</v>
      </c>
      <c r="K67" s="34">
        <f>K21/0.792817</f>
        <v>20137.824996184492</v>
      </c>
      <c r="L67" s="34">
        <f>L21/0.792817</f>
        <v>0</v>
      </c>
      <c r="M67" s="33">
        <f>M21/0.494</f>
        <v>28748.987854251012</v>
      </c>
      <c r="N67" s="33"/>
      <c r="O67" s="33">
        <f>O21/0.494</f>
        <v>740.9919028340081</v>
      </c>
      <c r="P67" s="33"/>
      <c r="Q67" s="33">
        <f>Q21/0.494</f>
        <v>1060.9109311740892</v>
      </c>
      <c r="R67" s="33"/>
      <c r="S67" s="33">
        <f>S21/0.494</f>
        <v>10632.085020242916</v>
      </c>
      <c r="T67" s="33"/>
      <c r="U67" s="33">
        <f>U21/0.494</f>
        <v>1248.3603238866399</v>
      </c>
      <c r="V67" s="29"/>
    </row>
    <row r="68" spans="1:22" s="1" customFormat="1" ht="10.35" customHeight="1" x14ac:dyDescent="0.2">
      <c r="A68" s="28" t="s">
        <v>24</v>
      </c>
      <c r="B68" s="29"/>
      <c r="C68" s="33">
        <f>C22/0.53402</f>
        <v>13116.999363319725</v>
      </c>
      <c r="D68" s="34"/>
      <c r="E68" s="33">
        <f>E22/0.53402</f>
        <v>13904.94738024793</v>
      </c>
      <c r="F68" s="34"/>
      <c r="G68" s="33">
        <f>G22/0.53402</f>
        <v>98629.84532414515</v>
      </c>
      <c r="H68" s="34"/>
      <c r="I68" s="34">
        <f>I22/0.842134</f>
        <v>15653.684568014116</v>
      </c>
      <c r="J68" s="34">
        <f>J22/0.842134</f>
        <v>0</v>
      </c>
      <c r="K68" s="34">
        <f>K22/0.842134</f>
        <v>19619.134247043818</v>
      </c>
      <c r="L68" s="34">
        <f>L22/0.842134</f>
        <v>0</v>
      </c>
      <c r="M68" s="33">
        <f>M22/0.53402</f>
        <v>30326.579528856593</v>
      </c>
      <c r="N68" s="33"/>
      <c r="O68" s="33">
        <f>O22/0.53402</f>
        <v>759.37230815325256</v>
      </c>
      <c r="P68" s="33"/>
      <c r="Q68" s="33">
        <f>Q22/0.53402</f>
        <v>1118.5723381146772</v>
      </c>
      <c r="R68" s="33"/>
      <c r="S68" s="33">
        <f>S22/0.53402</f>
        <v>10537.695217407587</v>
      </c>
      <c r="T68" s="33"/>
      <c r="U68" s="33">
        <f>U22/0.53402</f>
        <v>1310.1756488521028</v>
      </c>
      <c r="V68" s="29"/>
    </row>
    <row r="69" spans="1:22" s="1" customFormat="1" ht="10.35" customHeight="1" x14ac:dyDescent="0.2">
      <c r="A69" s="28" t="s">
        <v>25</v>
      </c>
      <c r="B69" s="29"/>
      <c r="C69" s="33">
        <f>C23/0.57193</f>
        <v>13249.873236235202</v>
      </c>
      <c r="D69" s="34"/>
      <c r="E69" s="33">
        <f>E23/0.57193</f>
        <v>14536.744007133739</v>
      </c>
      <c r="F69" s="34"/>
      <c r="G69" s="33">
        <f>G23/0.57193</f>
        <v>101017.60704981379</v>
      </c>
      <c r="H69" s="34"/>
      <c r="I69" s="34">
        <f>I23/0.892113</f>
        <v>14866.950711400908</v>
      </c>
      <c r="J69" s="34">
        <f>J23/0.892113</f>
        <v>0</v>
      </c>
      <c r="K69" s="34">
        <f>K23/0.892113</f>
        <v>20171.211494507981</v>
      </c>
      <c r="L69" s="34">
        <f>L23/0.892113</f>
        <v>0</v>
      </c>
      <c r="M69" s="33">
        <f>M23/0.57193</f>
        <v>30682.076477890649</v>
      </c>
      <c r="N69" s="33"/>
      <c r="O69" s="33">
        <f>O23/0.57193</f>
        <v>790.30650604094899</v>
      </c>
      <c r="P69" s="33"/>
      <c r="Q69" s="33">
        <f>Q23/0.57193</f>
        <v>1150.4904446348328</v>
      </c>
      <c r="R69" s="33"/>
      <c r="S69" s="33">
        <f>S23/0.57193</f>
        <v>10768.800377668595</v>
      </c>
      <c r="T69" s="33"/>
      <c r="U69" s="33">
        <f>U23/0.57193</f>
        <v>1398.7725770636266</v>
      </c>
      <c r="V69" s="29"/>
    </row>
    <row r="70" spans="1:22" s="1" customFormat="1" ht="10.35" customHeight="1" x14ac:dyDescent="0.2">
      <c r="A70" s="28" t="s">
        <v>26</v>
      </c>
      <c r="B70" s="29"/>
      <c r="C70" s="33">
        <f>C24/0.60592</f>
        <v>12717.850541325588</v>
      </c>
      <c r="D70" s="34"/>
      <c r="E70" s="33">
        <f>E24/0.60592</f>
        <v>14067.863744388698</v>
      </c>
      <c r="F70" s="34"/>
      <c r="G70" s="33">
        <f>G24/0.60592</f>
        <v>97682.862424082385</v>
      </c>
      <c r="H70" s="34"/>
      <c r="I70" s="34">
        <f>I24/0.944651</f>
        <v>0</v>
      </c>
      <c r="J70" s="34">
        <f>J24/0.944651</f>
        <v>0</v>
      </c>
      <c r="K70" s="34">
        <f>K24/0.944651</f>
        <v>0</v>
      </c>
      <c r="L70" s="34">
        <f>L24/0.944651</f>
        <v>0</v>
      </c>
      <c r="M70" s="33">
        <f>M24/0.60592</f>
        <v>30480.921573805121</v>
      </c>
      <c r="N70" s="33"/>
      <c r="O70" s="33">
        <f>O24/0.60592</f>
        <v>762.47689463955635</v>
      </c>
      <c r="P70" s="33"/>
      <c r="Q70" s="33">
        <f>Q24/0.60592</f>
        <v>1181.6741484024294</v>
      </c>
      <c r="R70" s="33"/>
      <c r="S70" s="33">
        <f>S24/0.60592</f>
        <v>10638.368101399525</v>
      </c>
      <c r="T70" s="33"/>
      <c r="U70" s="33">
        <f>U24/0.60592</f>
        <v>1430.8819646157908</v>
      </c>
      <c r="V70" s="29"/>
    </row>
    <row r="71" spans="1:22" s="25" customFormat="1" ht="10.35" customHeight="1" x14ac:dyDescent="0.2">
      <c r="A71" s="57" t="s">
        <v>29</v>
      </c>
      <c r="B71" s="58"/>
      <c r="C71" s="59">
        <f>C25/0.63114</f>
        <v>12279.367493741483</v>
      </c>
      <c r="D71" s="60"/>
      <c r="E71" s="59">
        <f>E25/0.63114</f>
        <v>13992.141204804004</v>
      </c>
      <c r="F71" s="60"/>
      <c r="G71" s="59">
        <f>G25/0.63114</f>
        <v>83574.167379662191</v>
      </c>
      <c r="H71" s="60"/>
      <c r="I71" s="60">
        <f>I25/0.989479</f>
        <v>0</v>
      </c>
      <c r="J71" s="60">
        <f>J25/0.989479</f>
        <v>0</v>
      </c>
      <c r="K71" s="60">
        <f>K25/0.989479</f>
        <v>0</v>
      </c>
      <c r="L71" s="60">
        <f>L25/0.989479</f>
        <v>0</v>
      </c>
      <c r="M71" s="59">
        <f>M25/0.63114</f>
        <v>30313.401147130586</v>
      </c>
      <c r="N71" s="59"/>
      <c r="O71" s="59">
        <f>O25/0.63114</f>
        <v>736.76204962448901</v>
      </c>
      <c r="P71" s="59"/>
      <c r="Q71" s="59">
        <f>Q25/0.63114</f>
        <v>1123.3640713629304</v>
      </c>
      <c r="R71" s="59"/>
      <c r="S71" s="59">
        <f>S25/0.63114</f>
        <v>11426.941724498525</v>
      </c>
      <c r="T71" s="59"/>
      <c r="U71" s="59">
        <f>U25/0.63114</f>
        <v>1483.0307063409068</v>
      </c>
      <c r="V71" s="58"/>
    </row>
    <row r="72" spans="1:22" s="25" customFormat="1" ht="10.35" customHeight="1" x14ac:dyDescent="0.2">
      <c r="A72" s="61">
        <v>1995</v>
      </c>
      <c r="B72" s="58"/>
      <c r="C72" s="59">
        <f>C26/0.65545</f>
        <v>12869.021283087955</v>
      </c>
      <c r="D72" s="60"/>
      <c r="E72" s="59">
        <f>E26/0.65545</f>
        <v>14216.187352200779</v>
      </c>
      <c r="F72" s="60"/>
      <c r="G72" s="59">
        <f>G26/0.65545</f>
        <v>109219.62010832253</v>
      </c>
      <c r="H72" s="60"/>
      <c r="I72" s="60"/>
      <c r="J72" s="60"/>
      <c r="K72" s="60"/>
      <c r="L72" s="60"/>
      <c r="M72" s="59">
        <f>M26/0.65545</f>
        <v>30228.087573422839</v>
      </c>
      <c r="N72" s="59"/>
      <c r="O72" s="59">
        <f>O26/0.65545</f>
        <v>733.84697536043939</v>
      </c>
      <c r="P72" s="59"/>
      <c r="Q72" s="59">
        <f>Q26/0.65545</f>
        <v>1128.9953467083683</v>
      </c>
      <c r="R72" s="59"/>
      <c r="S72" s="59">
        <f>S26/0.65545</f>
        <v>12139.751315889847</v>
      </c>
      <c r="T72" s="59"/>
      <c r="U72" s="59">
        <f>U26/0.65545</f>
        <v>1600.4271874284843</v>
      </c>
      <c r="V72" s="60"/>
    </row>
    <row r="73" spans="1:22" s="25" customFormat="1" ht="10.35" customHeight="1" x14ac:dyDescent="0.2">
      <c r="A73" s="62">
        <v>1996</v>
      </c>
      <c r="B73" s="58"/>
      <c r="C73" s="59">
        <f>C27/0.67242</f>
        <v>12446.090241218286</v>
      </c>
      <c r="D73" s="60"/>
      <c r="E73" s="59">
        <f>E27/0.67242</f>
        <v>13423.158145206864</v>
      </c>
      <c r="F73" s="60"/>
      <c r="G73" s="59">
        <f>G27/0.67242</f>
        <v>103714.94006721988</v>
      </c>
      <c r="H73" s="60"/>
      <c r="I73" s="60"/>
      <c r="J73" s="60"/>
      <c r="K73" s="60"/>
      <c r="L73" s="60"/>
      <c r="M73" s="59">
        <f>M27/0.67242</f>
        <v>30834.894857380801</v>
      </c>
      <c r="N73" s="59"/>
      <c r="O73" s="59">
        <f>O27/0.67242</f>
        <v>730.19838791231666</v>
      </c>
      <c r="P73" s="59"/>
      <c r="Q73" s="59">
        <f>Q27/0.67242</f>
        <v>1131.7331429761161</v>
      </c>
      <c r="R73" s="59"/>
      <c r="S73" s="59">
        <f>S27/0.67242</f>
        <v>13640.284346093214</v>
      </c>
      <c r="T73" s="59"/>
      <c r="U73" s="59">
        <f>U27/0.67242</f>
        <v>1734.0352755718152</v>
      </c>
      <c r="V73" s="60"/>
    </row>
    <row r="74" spans="1:22" s="25" customFormat="1" ht="10.35" customHeight="1" x14ac:dyDescent="0.2">
      <c r="A74" s="62">
        <v>1997</v>
      </c>
      <c r="B74" s="58"/>
      <c r="C74" s="59">
        <f>C28/0.68702</f>
        <v>12855.086782617824</v>
      </c>
      <c r="D74" s="60"/>
      <c r="E74" s="59">
        <f>E28/0.68702</f>
        <v>12477.074903205148</v>
      </c>
      <c r="F74" s="60"/>
      <c r="G74" s="59">
        <f>G28/0.68702</f>
        <v>107234.14165526477</v>
      </c>
      <c r="H74" s="60"/>
      <c r="I74" s="60"/>
      <c r="J74" s="60"/>
      <c r="K74" s="60"/>
      <c r="L74" s="60"/>
      <c r="M74" s="59">
        <f>M28/0.68702</f>
        <v>30617.740386014964</v>
      </c>
      <c r="N74" s="59"/>
      <c r="O74" s="59">
        <f>O28/0.68702</f>
        <v>730.69197403277929</v>
      </c>
      <c r="P74" s="59"/>
      <c r="Q74" s="59">
        <f>Q28/0.68702</f>
        <v>1167.3604844109343</v>
      </c>
      <c r="R74" s="59"/>
      <c r="S74" s="59">
        <f>S28/0.68702</f>
        <v>13731.769089691712</v>
      </c>
      <c r="T74" s="59"/>
      <c r="U74" s="59">
        <f>U28/0.68702</f>
        <v>2007.2195860382524</v>
      </c>
      <c r="V74" s="60"/>
    </row>
    <row r="75" spans="1:22" s="25" customFormat="1" ht="10.35" customHeight="1" x14ac:dyDescent="0.2">
      <c r="A75" s="62">
        <v>1998</v>
      </c>
      <c r="B75" s="58"/>
      <c r="C75" s="59">
        <f>C29/0.69892</f>
        <v>13014.514953355958</v>
      </c>
      <c r="D75" s="60"/>
      <c r="E75" s="59">
        <f>E29/0.69892</f>
        <v>12188.446300777501</v>
      </c>
      <c r="F75" s="60"/>
      <c r="G75" s="59">
        <f>G29/0.69892</f>
        <v>108480.49423022922</v>
      </c>
      <c r="H75" s="60"/>
      <c r="I75" s="60"/>
      <c r="J75" s="60"/>
      <c r="K75" s="60"/>
      <c r="L75" s="60"/>
      <c r="M75" s="59">
        <f>M29/0.69892</f>
        <v>29852.030868254227</v>
      </c>
      <c r="N75" s="59"/>
      <c r="O75" s="59">
        <f>O29/0.69892</f>
        <v>688.91921525375767</v>
      </c>
      <c r="P75" s="59"/>
      <c r="Q75" s="59">
        <f>Q29/0.69892</f>
        <v>1184.2447570113591</v>
      </c>
      <c r="R75" s="59"/>
      <c r="S75" s="59">
        <f>S29/0.69892</f>
        <v>4593.9151531346388</v>
      </c>
      <c r="T75" s="59"/>
      <c r="U75" s="59">
        <f>U29/0.69892</f>
        <v>2325.6734533141021</v>
      </c>
      <c r="V75" s="60"/>
    </row>
    <row r="76" spans="1:22" s="25" customFormat="1" ht="10.35" customHeight="1" x14ac:dyDescent="0.2">
      <c r="A76" s="62">
        <v>1999</v>
      </c>
      <c r="B76" s="58"/>
      <c r="C76" s="59">
        <f>C30/0.71415</f>
        <v>13766.81663980518</v>
      </c>
      <c r="D76" s="60"/>
      <c r="E76" s="59">
        <f>E30/0.71415</f>
        <v>11835.209867636242</v>
      </c>
      <c r="F76" s="60"/>
      <c r="G76" s="59">
        <f>G30/0.71415</f>
        <v>108334.07462261226</v>
      </c>
      <c r="H76" s="60"/>
      <c r="I76" s="60"/>
      <c r="J76" s="60"/>
      <c r="K76" s="60"/>
      <c r="L76" s="60"/>
      <c r="M76" s="59">
        <f>M30/0.71415</f>
        <v>36370.074201487849</v>
      </c>
      <c r="N76" s="59"/>
      <c r="O76" s="59">
        <f>O30/0.71415</f>
        <v>736.69255933435466</v>
      </c>
      <c r="P76" s="59"/>
      <c r="Q76" s="59">
        <f>Q30/0.71415</f>
        <v>1201.6566973070967</v>
      </c>
      <c r="R76" s="59"/>
      <c r="S76" s="59">
        <f>S30/0.71415</f>
        <v>7559.3275679406079</v>
      </c>
      <c r="T76" s="59"/>
      <c r="U76" s="59">
        <f>U30/0.71415</f>
        <v>2721.7756348706657</v>
      </c>
      <c r="V76" s="60"/>
    </row>
    <row r="77" spans="1:22" s="25" customFormat="1" ht="10.35" customHeight="1" x14ac:dyDescent="0.2">
      <c r="A77" s="62">
        <v>2000</v>
      </c>
      <c r="B77" s="63"/>
      <c r="C77" s="64">
        <f>C31/0.7326</f>
        <v>14413.442365471972</v>
      </c>
      <c r="D77" s="65"/>
      <c r="E77" s="64">
        <f>E31/0.7326</f>
        <v>11574.092218095731</v>
      </c>
      <c r="F77" s="65"/>
      <c r="G77" s="64">
        <f>G31/0.7326</f>
        <v>109464.92462589352</v>
      </c>
      <c r="H77" s="65"/>
      <c r="I77" s="65"/>
      <c r="J77" s="65"/>
      <c r="K77" s="65"/>
      <c r="L77" s="65"/>
      <c r="M77" s="64">
        <f>M31/0.7326</f>
        <v>36247.267652233102</v>
      </c>
      <c r="N77" s="64"/>
      <c r="O77" s="64">
        <f>O31/0.7326</f>
        <v>729.44874866768555</v>
      </c>
      <c r="P77" s="64"/>
      <c r="Q77" s="64">
        <f>Q31/0.7326</f>
        <v>1264.5043777310088</v>
      </c>
      <c r="R77" s="64"/>
      <c r="S77" s="64">
        <f>S31/0.7326</f>
        <v>6898.088688167818</v>
      </c>
      <c r="T77" s="64"/>
      <c r="U77" s="64">
        <f>U31/0.7326</f>
        <v>3158.7536717202584</v>
      </c>
      <c r="V77" s="65"/>
    </row>
    <row r="78" spans="1:22" s="25" customFormat="1" ht="10.35" customHeight="1" x14ac:dyDescent="0.2">
      <c r="A78" s="62">
        <v>2001</v>
      </c>
      <c r="B78" s="63"/>
      <c r="C78" s="64">
        <f>C32/0.75728</f>
        <v>14935.662402441108</v>
      </c>
      <c r="D78" s="65"/>
      <c r="E78" s="64">
        <f>E32/0.75728</f>
        <v>11966.31511548705</v>
      </c>
      <c r="F78" s="65"/>
      <c r="G78" s="64">
        <f>G32/0.75728</f>
        <v>111699.55993156374</v>
      </c>
      <c r="H78" s="65"/>
      <c r="I78" s="65"/>
      <c r="J78" s="65"/>
      <c r="K78" s="65"/>
      <c r="L78" s="65"/>
      <c r="M78" s="64">
        <f>M32/0.75728</f>
        <v>37213.125164860503</v>
      </c>
      <c r="N78" s="64"/>
      <c r="O78" s="64">
        <f>O32/0.75728</f>
        <v>746.58053184920902</v>
      </c>
      <c r="P78" s="64"/>
      <c r="Q78" s="64">
        <f>Q32/0.75728</f>
        <v>1245.0776759519911</v>
      </c>
      <c r="R78" s="64"/>
      <c r="S78" s="64">
        <f>S32/0.75728</f>
        <v>7370.8040251825887</v>
      </c>
      <c r="T78" s="64"/>
      <c r="U78" s="64">
        <f>U32/0.75728</f>
        <v>3451.3341012316146</v>
      </c>
      <c r="V78" s="65"/>
    </row>
    <row r="79" spans="1:22" s="66" customFormat="1" ht="10.35" customHeight="1" x14ac:dyDescent="0.2">
      <c r="A79" s="62">
        <v>2002</v>
      </c>
      <c r="B79" s="63"/>
      <c r="C79" s="64">
        <f>C33/0.77741</f>
        <v>16047.281716149128</v>
      </c>
      <c r="D79" s="65"/>
      <c r="E79" s="64">
        <f>E33/0.77741</f>
        <v>12161.379452675257</v>
      </c>
      <c r="F79" s="65"/>
      <c r="G79" s="64">
        <f>G33/0.77741</f>
        <v>119356.73992627728</v>
      </c>
      <c r="H79" s="65"/>
      <c r="I79" s="65"/>
      <c r="J79" s="65"/>
      <c r="K79" s="65"/>
      <c r="L79" s="65"/>
      <c r="M79" s="64">
        <f>M33/0.77741</f>
        <v>35715.538972979877</v>
      </c>
      <c r="N79" s="64"/>
      <c r="O79" s="64">
        <f>O33/0.77741</f>
        <v>763.30527644312451</v>
      </c>
      <c r="P79" s="64"/>
      <c r="Q79" s="64">
        <f>Q33/0.77741</f>
        <v>1271.0313433541096</v>
      </c>
      <c r="R79" s="64"/>
      <c r="S79" s="64">
        <f>S33/0.77741</f>
        <v>7348.489505331424</v>
      </c>
      <c r="T79" s="64"/>
      <c r="U79" s="64">
        <f>U33/0.77741</f>
        <v>3667.5538527624726</v>
      </c>
      <c r="V79" s="65"/>
    </row>
    <row r="80" spans="1:22" s="66" customFormat="1" ht="10.35" customHeight="1" x14ac:dyDescent="0.2">
      <c r="A80" s="62">
        <v>2003</v>
      </c>
      <c r="B80" s="63"/>
      <c r="C80" s="64">
        <f>C34/0.80502</f>
        <v>16524.875907973059</v>
      </c>
      <c r="D80" s="65"/>
      <c r="E80" s="64">
        <f>E34/0.80502</f>
        <v>12236.399021377927</v>
      </c>
      <c r="F80" s="65"/>
      <c r="G80" s="64">
        <f>G34/0.80502</f>
        <v>121106.33223532249</v>
      </c>
      <c r="H80" s="65"/>
      <c r="I80" s="65"/>
      <c r="J80" s="65"/>
      <c r="K80" s="65"/>
      <c r="L80" s="65"/>
      <c r="M80" s="64">
        <f>M34/0.80502</f>
        <v>36147.076433281654</v>
      </c>
      <c r="N80" s="64"/>
      <c r="O80" s="64">
        <f>O34/0.80502</f>
        <v>777.43476808746777</v>
      </c>
      <c r="P80" s="64"/>
      <c r="Q80" s="64">
        <f>Q34/0.80502</f>
        <v>1276.9912298051843</v>
      </c>
      <c r="R80" s="64"/>
      <c r="S80" s="64">
        <f>S34/0.80502</f>
        <v>7578.1586537352223</v>
      </c>
      <c r="T80" s="64"/>
      <c r="U80" s="64">
        <f>U34/0.80502</f>
        <v>3980.5813033887898</v>
      </c>
      <c r="V80" s="65"/>
    </row>
    <row r="81" spans="1:22" s="66" customFormat="1" ht="10.35" customHeight="1" x14ac:dyDescent="0.2">
      <c r="A81" s="62">
        <v>2004</v>
      </c>
      <c r="B81" s="63"/>
      <c r="C81" s="64">
        <f>C35/0.83626</f>
        <v>16824.981948072284</v>
      </c>
      <c r="D81" s="65"/>
      <c r="E81" s="64">
        <f>E35/0.83626</f>
        <v>12516.668929011079</v>
      </c>
      <c r="F81" s="65"/>
      <c r="G81" s="64">
        <f>G35/0.83626</f>
        <v>122036.40737385319</v>
      </c>
      <c r="H81" s="65"/>
      <c r="I81" s="65"/>
      <c r="J81" s="65"/>
      <c r="K81" s="65"/>
      <c r="L81" s="65"/>
      <c r="M81" s="64">
        <f>M35/0.83626</f>
        <v>35739.81187712575</v>
      </c>
      <c r="N81" s="64"/>
      <c r="O81" s="64">
        <f>O35/0.83626</f>
        <v>793.64793591094428</v>
      </c>
      <c r="P81" s="64"/>
      <c r="Q81" s="64">
        <f>Q35/0.83626</f>
        <v>1327.8780840015509</v>
      </c>
      <c r="R81" s="64"/>
      <c r="S81" s="64">
        <f>S35/0.83626</f>
        <v>7437.9327591002593</v>
      </c>
      <c r="T81" s="64"/>
      <c r="U81" s="64">
        <f>U35/0.83626</f>
        <v>4308.1846820887031</v>
      </c>
      <c r="V81" s="65"/>
    </row>
    <row r="82" spans="1:22" s="66" customFormat="1" ht="10.35" customHeight="1" x14ac:dyDescent="0.2">
      <c r="A82" s="62">
        <v>2005</v>
      </c>
      <c r="B82" s="63"/>
      <c r="C82" s="64">
        <f>C36/0.86234</f>
        <v>16856.021115373871</v>
      </c>
      <c r="D82" s="65"/>
      <c r="E82" s="64">
        <f>E36/0.86234</f>
        <v>12557.440203151977</v>
      </c>
      <c r="F82" s="65"/>
      <c r="G82" s="64">
        <f>G36/0.86234</f>
        <v>127188.28617990932</v>
      </c>
      <c r="H82" s="65"/>
      <c r="I82" s="65"/>
      <c r="J82" s="65"/>
      <c r="K82" s="65"/>
      <c r="L82" s="65"/>
      <c r="M82" s="64">
        <f>M36/0.86234</f>
        <v>36014.094561293634</v>
      </c>
      <c r="N82" s="64"/>
      <c r="O82" s="64">
        <f>O36/0.86234</f>
        <v>870.74496454651955</v>
      </c>
      <c r="P82" s="64"/>
      <c r="Q82" s="64">
        <f>Q36/0.86234</f>
        <v>1231.9798495814305</v>
      </c>
      <c r="R82" s="64"/>
      <c r="S82" s="64">
        <f>S36/0.86234</f>
        <v>8260.1844207581398</v>
      </c>
      <c r="T82" s="64"/>
      <c r="U82" s="64">
        <f>U36/0.86234</f>
        <v>4400.3983006276285</v>
      </c>
      <c r="V82" s="65"/>
    </row>
    <row r="83" spans="1:22" s="66" customFormat="1" ht="10.35" customHeight="1" x14ac:dyDescent="0.2">
      <c r="A83" s="62">
        <v>2006</v>
      </c>
      <c r="B83" s="63"/>
      <c r="C83" s="64">
        <f>C37/0.88971</f>
        <v>15625.856674221934</v>
      </c>
      <c r="D83" s="65"/>
      <c r="E83" s="64">
        <f>E37/0.88971</f>
        <v>12283.195494294036</v>
      </c>
      <c r="F83" s="65"/>
      <c r="G83" s="64">
        <f>G37/0.88971</f>
        <v>127611.38131773169</v>
      </c>
      <c r="H83" s="65"/>
      <c r="I83" s="65"/>
      <c r="J83" s="65"/>
      <c r="K83" s="65"/>
      <c r="L83" s="65"/>
      <c r="M83" s="64">
        <f>M37/0.88971</f>
        <v>35947.852993689907</v>
      </c>
      <c r="N83" s="64"/>
      <c r="O83" s="64">
        <f>O37/0.88971</f>
        <v>814.14605853013643</v>
      </c>
      <c r="P83" s="64"/>
      <c r="Q83" s="64">
        <f>Q37/0.88971</f>
        <v>1236.228845862958</v>
      </c>
      <c r="R83" s="64"/>
      <c r="S83" s="64">
        <f>S37/0.88971</f>
        <v>8478.2167594708608</v>
      </c>
      <c r="T83" s="64"/>
      <c r="U83" s="64">
        <f>U37/0.88971</f>
        <v>2975.1389551667344</v>
      </c>
      <c r="V83" s="65"/>
    </row>
    <row r="84" spans="1:22" s="66" customFormat="1" ht="10.35" customHeight="1" x14ac:dyDescent="0.2">
      <c r="A84" s="62">
        <v>2007</v>
      </c>
      <c r="B84" s="63"/>
      <c r="C84" s="64">
        <f>C38/0.92063</f>
        <v>15417.825898047962</v>
      </c>
      <c r="D84" s="65"/>
      <c r="E84" s="64">
        <f>E38/0.92063</f>
        <v>13290.041156459034</v>
      </c>
      <c r="F84" s="65"/>
      <c r="G84" s="64">
        <f>G38/0.92063</f>
        <v>126553.58533179641</v>
      </c>
      <c r="H84" s="65"/>
      <c r="I84" s="65"/>
      <c r="J84" s="65"/>
      <c r="K84" s="65"/>
      <c r="L84" s="65"/>
      <c r="M84" s="64">
        <f>M38/0.92063</f>
        <v>36360.085060023644</v>
      </c>
      <c r="N84" s="64"/>
      <c r="O84" s="64">
        <f>O38/0.92063</f>
        <v>792.72096362299385</v>
      </c>
      <c r="P84" s="64"/>
      <c r="Q84" s="64">
        <f>Q38/0.92063</f>
        <v>1241.1094677306253</v>
      </c>
      <c r="R84" s="64"/>
      <c r="S84" s="64">
        <f>S38/0.92063</f>
        <v>8602.9597302332531</v>
      </c>
      <c r="T84" s="64"/>
      <c r="U84" s="64">
        <f>U38/0.92063</f>
        <v>2839.9715726204781</v>
      </c>
      <c r="V84" s="65"/>
    </row>
    <row r="85" spans="1:22" s="66" customFormat="1" ht="10.35" customHeight="1" x14ac:dyDescent="0.2">
      <c r="A85" s="62">
        <v>2008</v>
      </c>
      <c r="B85" s="63"/>
      <c r="C85" s="64">
        <f>C39/0.94908</f>
        <v>15639.060423909215</v>
      </c>
      <c r="D85" s="65"/>
      <c r="E85" s="64">
        <f>E39/0.94908</f>
        <v>13067.934799289662</v>
      </c>
      <c r="F85" s="65"/>
      <c r="G85" s="64">
        <f>G39/0.94908</f>
        <v>133438.97657469718</v>
      </c>
      <c r="H85" s="65"/>
      <c r="I85" s="65"/>
      <c r="J85" s="65"/>
      <c r="K85" s="65"/>
      <c r="L85" s="65"/>
      <c r="M85" s="64">
        <f>M39/0.94908</f>
        <v>36956.328528043785</v>
      </c>
      <c r="N85" s="64"/>
      <c r="O85" s="64">
        <f>O39/0.94908</f>
        <v>809.09122071873242</v>
      </c>
      <c r="P85" s="64"/>
      <c r="Q85" s="64">
        <f>Q39/0.94908</f>
        <v>1281.8148477190584</v>
      </c>
      <c r="R85" s="64"/>
      <c r="S85" s="64">
        <f>S39/0.94908</f>
        <v>8892.9593049746873</v>
      </c>
      <c r="T85" s="64"/>
      <c r="U85" s="64">
        <f>U39/0.94908</f>
        <v>2876.7503249548004</v>
      </c>
      <c r="V85" s="65"/>
    </row>
    <row r="86" spans="1:22" s="36" customFormat="1" ht="10.35" customHeight="1" x14ac:dyDescent="0.2">
      <c r="A86" s="62">
        <v>2009</v>
      </c>
      <c r="B86" s="63"/>
      <c r="C86" s="64">
        <f>C40/0.97296</f>
        <v>16105.112556334954</v>
      </c>
      <c r="D86" s="65"/>
      <c r="E86" s="64">
        <f>E40/0.97296</f>
        <v>12861.436839050282</v>
      </c>
      <c r="F86" s="65"/>
      <c r="G86" s="64">
        <f>G40/0.97296</f>
        <v>135977.926852367</v>
      </c>
      <c r="H86" s="65"/>
      <c r="I86" s="65"/>
      <c r="J86" s="65"/>
      <c r="K86" s="65"/>
      <c r="L86" s="65"/>
      <c r="M86" s="64">
        <f>M40/0.97296</f>
        <v>36608.319465381916</v>
      </c>
      <c r="N86" s="64"/>
      <c r="O86" s="64">
        <f>O40/0.97296</f>
        <v>843.21088763425394</v>
      </c>
      <c r="P86" s="64"/>
      <c r="Q86" s="64">
        <f>Q40/0.97296</f>
        <v>1351.5355208400028</v>
      </c>
      <c r="R86" s="64"/>
      <c r="S86" s="64">
        <f>S40/0.97296</f>
        <v>9614.1037354627169</v>
      </c>
      <c r="T86" s="64"/>
      <c r="U86" s="64">
        <f>U40/0.97296</f>
        <v>2809.4172772427819</v>
      </c>
      <c r="V86" s="67"/>
    </row>
    <row r="87" spans="1:22" s="36" customFormat="1" ht="10.35" customHeight="1" x14ac:dyDescent="0.2">
      <c r="A87" s="53">
        <v>2010</v>
      </c>
      <c r="B87" s="54"/>
      <c r="C87" s="55">
        <f>C41/1</f>
        <v>15751.973305791009</v>
      </c>
      <c r="D87" s="56"/>
      <c r="E87" s="55">
        <f>E41/1</f>
        <v>12621.61444700685</v>
      </c>
      <c r="F87" s="56"/>
      <c r="G87" s="55">
        <f>G41/1</f>
        <v>131678.72423601235</v>
      </c>
      <c r="H87" s="56"/>
      <c r="I87" s="56"/>
      <c r="J87" s="56"/>
      <c r="K87" s="56"/>
      <c r="L87" s="56"/>
      <c r="M87" s="55">
        <f>M41/1</f>
        <v>37039.707442453197</v>
      </c>
      <c r="N87" s="55"/>
      <c r="O87" s="55">
        <f>O41/1</f>
        <v>818.04271113258005</v>
      </c>
      <c r="P87" s="55"/>
      <c r="Q87" s="55">
        <f>Q41/1</f>
        <v>1403.9313435404738</v>
      </c>
      <c r="R87" s="55"/>
      <c r="S87" s="55">
        <f>S41/1</f>
        <v>8609.1820818950273</v>
      </c>
      <c r="T87" s="55"/>
      <c r="U87" s="55">
        <f>U41/1</f>
        <v>2696.5263291166511</v>
      </c>
      <c r="V87" s="37"/>
    </row>
    <row r="88" spans="1:22" s="38" customFormat="1" ht="9.9499999999999993" customHeight="1" x14ac:dyDescent="0.15">
      <c r="A88" s="7" t="s">
        <v>34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49"/>
      <c r="V88" s="8"/>
    </row>
    <row r="89" spans="1:22" s="38" customFormat="1" ht="9" customHeight="1" x14ac:dyDescent="0.15">
      <c r="A89" s="51" t="s">
        <v>35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</row>
    <row r="90" spans="1:22" s="38" customFormat="1" ht="9.6" customHeight="1" x14ac:dyDescent="0.15">
      <c r="A90" s="9" t="s">
        <v>36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s="38" customFormat="1" ht="9" customHeight="1" x14ac:dyDescent="0.15">
      <c r="A91" s="11" t="s">
        <v>37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s="38" customFormat="1" ht="9" customHeight="1" x14ac:dyDescent="0.15">
      <c r="A92" s="11" t="s">
        <v>38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s="38" customFormat="1" ht="9" customHeight="1" x14ac:dyDescent="0.15">
      <c r="A93" s="11" t="s">
        <v>39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s="38" customFormat="1" ht="9.6" customHeight="1" x14ac:dyDescent="0.15">
      <c r="A94" s="7" t="s">
        <v>40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s="38" customFormat="1" ht="9" customHeight="1" x14ac:dyDescent="0.15">
      <c r="A95" s="11" t="s">
        <v>41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s="38" customFormat="1" ht="9" customHeight="1" x14ac:dyDescent="0.15">
      <c r="A96" s="12" t="s">
        <v>42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s="38" customFormat="1" ht="9" customHeight="1" x14ac:dyDescent="0.15">
      <c r="A97" s="12" t="s">
        <v>43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s="38" customFormat="1" ht="3" customHeight="1" x14ac:dyDescent="0.15">
      <c r="A98" s="11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1:22" s="38" customFormat="1" ht="9" customHeight="1" x14ac:dyDescent="0.15">
      <c r="A99" s="13" t="s">
        <v>52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</row>
    <row r="100" spans="1:22" s="38" customFormat="1" ht="9" customHeight="1" x14ac:dyDescent="0.15">
      <c r="A100" s="12" t="s">
        <v>56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1:22" s="38" customFormat="1" ht="8.4499999999999993" customHeight="1" x14ac:dyDescent="0.15">
      <c r="A101" s="12" t="s">
        <v>65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</row>
    <row r="102" spans="1:22" s="38" customFormat="1" ht="8.4499999999999993" customHeight="1" x14ac:dyDescent="0.15">
      <c r="A102" s="50" t="s">
        <v>57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s="38" customFormat="1" ht="8.4499999999999993" customHeight="1" x14ac:dyDescent="0.15">
      <c r="A103" s="50" t="s">
        <v>58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22" s="38" customFormat="1" ht="8.4499999999999993" customHeight="1" x14ac:dyDescent="0.15">
      <c r="A104" s="50" t="s">
        <v>59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1:22" s="38" customFormat="1" ht="8.4499999999999993" customHeight="1" x14ac:dyDescent="0.15">
      <c r="A105" s="50" t="s">
        <v>60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</row>
    <row r="106" spans="1:22" s="38" customFormat="1" ht="8.4499999999999993" customHeight="1" x14ac:dyDescent="0.15">
      <c r="A106" s="50" t="s">
        <v>61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s="38" customFormat="1" ht="8.4499999999999993" customHeight="1" x14ac:dyDescent="0.15">
      <c r="A107" s="12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</row>
    <row r="108" spans="1:22" s="2" customFormat="1" ht="9" customHeight="1" x14ac:dyDescent="0.15">
      <c r="A108" s="14" t="s">
        <v>67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spans="1:22" s="2" customFormat="1" ht="9" customHeight="1" x14ac:dyDescent="0.15">
      <c r="A109" s="12" t="s">
        <v>44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spans="1:22" s="2" customFormat="1" ht="9" customHeight="1" x14ac:dyDescent="0.15">
      <c r="A110" s="12" t="s">
        <v>66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8"/>
      <c r="N110" s="8"/>
      <c r="O110" s="8"/>
      <c r="P110" s="8"/>
      <c r="Q110" s="8"/>
      <c r="R110" s="8"/>
      <c r="S110" s="8"/>
      <c r="T110" s="8"/>
      <c r="U110" s="8"/>
      <c r="V110" s="8"/>
    </row>
  </sheetData>
  <mergeCells count="7">
    <mergeCell ref="A47:V47"/>
    <mergeCell ref="A48:V48"/>
    <mergeCell ref="C51:V51"/>
    <mergeCell ref="A1:V1"/>
    <mergeCell ref="A2:V2"/>
    <mergeCell ref="A3:V3"/>
    <mergeCell ref="A46:V46"/>
  </mergeCells>
  <phoneticPr fontId="2" type="noConversion"/>
  <printOptions gridLinesSet="0"/>
  <pageMargins left="0.8" right="0.7" top="1" bottom="0.5" header="0.5" footer="0.5"/>
  <pageSetup firstPageNumber="236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TABLE13.16</vt:lpstr>
      <vt:lpstr>TABLE13.16!Print_Area</vt:lpstr>
      <vt:lpstr>Print_Area</vt:lpstr>
      <vt:lpstr>TABLE13.16!Print_Area_MI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2013-04-15T14:43:30Z</cp:lastPrinted>
  <dcterms:created xsi:type="dcterms:W3CDTF">1999-10-08T13:44:35Z</dcterms:created>
  <dcterms:modified xsi:type="dcterms:W3CDTF">2013-04-24T15:11:33Z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2046424132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2046424132</vt:i4>
  </property>
</Properties>
</file>